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68" firstSheet="0" activeTab="6"/>
  </bookViews>
  <sheets>
    <sheet name="Grilles et calculs individuels" sheetId="1" state="visible" r:id="rId2"/>
    <sheet name="données complémentaires" sheetId="2" state="visible" r:id="rId3"/>
    <sheet name="calculs agirc" sheetId="3" state="visible" r:id="rId4"/>
    <sheet name="plafond sécu et CNAV" sheetId="4" state="visible" r:id="rId5"/>
    <sheet name="ARRCO" sheetId="5" state="visible" r:id="rId6"/>
    <sheet name="cohortes" sheetId="6" state="visible" r:id="rId7"/>
    <sheet name="Comment utiliser ce document" sheetId="7" state="visible" r:id="rId8"/>
  </sheets>
  <calcPr iterateCount="100" refMode="A1" iterate="false" iterateDelta="0.001"/>
</workbook>
</file>

<file path=xl/sharedStrings.xml><?xml version="1.0" encoding="utf-8"?>
<sst xmlns="http://schemas.openxmlformats.org/spreadsheetml/2006/main" count="503" uniqueCount="125">
  <si>
    <t>Noter : les enseignants au grand choix (30%)o sont moins pénalisés par rapport à ceux à l'ancienneté (20%)</t>
  </si>
  <si>
    <t>Grille de rémunération institutionnelle</t>
  </si>
  <si>
    <t>années avant la retraite</t>
  </si>
  <si>
    <r>
      <t>catégorie B 2</t>
    </r>
    <r>
      <rPr>
        <vertAlign val="superscript"/>
        <sz val="10"/>
        <rFont val="Arial"/>
        <family val="2"/>
        <charset val="1"/>
      </rPr>
      <t>e</t>
    </r>
    <r>
      <rPr>
        <sz val="10"/>
        <rFont val="Arial"/>
        <family val="2"/>
        <charset val="1"/>
      </rPr>
      <t>grade</t>
    </r>
  </si>
  <si>
    <t>ingénieur chef → général</t>
  </si>
  <si>
    <t>prof agrégé (choix)</t>
  </si>
  <si>
    <t>prof certifié</t>
  </si>
  <si>
    <t>brigadier de police</t>
  </si>
  <si>
    <t>adjoin admin principal 2e classe (Cat C service long)</t>
  </si>
  <si>
    <t>adjoin admin principal 2e classe (Cat C service court)</t>
  </si>
  <si>
    <t>professeur des écoles (durée courte)</t>
  </si>
  <si>
    <t>Calculs pour une année de pension versée</t>
  </si>
  <si>
    <t>pension régime CNAV nette</t>
  </si>
  <si>
    <t>retraite complémentaire virtuelle</t>
  </si>
  <si>
    <t>retraite nette du privé avec adaptation</t>
  </si>
  <si>
    <t>retraite système actuel sans adaptation</t>
  </si>
  <si>
    <t>Montant annuel moyen</t>
  </si>
  <si>
    <t>montant annuel pondéré selon le privé</t>
  </si>
  <si>
    <t>montant annuel pondéré syst actuel</t>
  </si>
  <si>
    <t>taux de remplacement selon COR 2012</t>
  </si>
  <si>
    <t>Poids total</t>
  </si>
  <si>
    <t>poids relatif dans la FPE</t>
  </si>
  <si>
    <t>Économies par personne :</t>
  </si>
  <si>
    <t>En pourcentages :</t>
  </si>
  <si>
    <t>Calculs pour la retraite entière</t>
  </si>
  <si>
    <t>âge de départ sous le nouveau régime</t>
  </si>
  <si>
    <t>âge de départ sous l'ancien régime</t>
  </si>
  <si>
    <t>taux de prime</t>
  </si>
  <si>
    <t>proportion d'hommes</t>
  </si>
  <si>
    <t>Nombres d'années sous pension:</t>
  </si>
  <si>
    <t>Hommes</t>
  </si>
  <si>
    <t>Femmes</t>
  </si>
  <si>
    <t>Montant total reçus en € 2015</t>
  </si>
  <si>
    <t>Montant des engagements selon le public</t>
  </si>
  <si>
    <t>Montant total pondéré</t>
  </si>
  <si>
    <t>Montant total selon le privé</t>
  </si>
  <si>
    <t>Montant des engagements selon le privé</t>
  </si>
  <si>
    <t>Montant théorique pondéré</t>
  </si>
  <si>
    <t>Année de départ à la retraite :</t>
  </si>
  <si>
    <t>indice de rémunération dans la fonction publique</t>
  </si>
  <si>
    <t>Plafond SS</t>
  </si>
  <si>
    <t>calculs divers</t>
  </si>
  <si>
    <t>taux de cotisation salariale</t>
  </si>
  <si>
    <t>année</t>
  </si>
  <si>
    <t>valeur indiciaire annuelle</t>
  </si>
  <si>
    <t>valeur mensuelle du point</t>
  </si>
  <si>
    <t>évolution</t>
  </si>
  <si>
    <t>évolution annuelle valeur du point</t>
  </si>
  <si>
    <t>valeur du PSS</t>
  </si>
  <si>
    <t>évolution annuelle PSS</t>
  </si>
  <si>
    <t>évolution salaire ref ARRCO</t>
  </si>
  <si>
    <t>diff indice/ARRCO</t>
  </si>
  <si>
    <t>tx coti public</t>
  </si>
  <si>
    <t>tx coti privé</t>
  </si>
  <si>
    <t>différence</t>
  </si>
  <si>
    <t>espérance de vie à 60 ans</t>
  </si>
  <si>
    <t>années</t>
  </si>
  <si>
    <t>%</t>
  </si>
  <si>
    <t>femmes</t>
  </si>
  <si>
    <t>hommes</t>
  </si>
  <si>
    <t>espérance moyenne</t>
  </si>
  <si>
    <t>données agirc</t>
  </si>
  <si>
    <t>salaire de ref en €</t>
  </si>
  <si>
    <t>taux d'acquisition tranche B corrigé</t>
  </si>
  <si>
    <t>année avant la retraite</t>
  </si>
  <si>
    <t>année courante</t>
  </si>
  <si>
    <t>ingénieur général</t>
  </si>
  <si>
    <t>brigadier de police municipale</t>
  </si>
  <si>
    <t>adjoint admin principal 2e classe (Cat C service long)</t>
  </si>
  <si>
    <t>adjoint admin principal 2e classe (Cat C service court)</t>
  </si>
  <si>
    <t>non éligible</t>
  </si>
  <si>
    <t>TOTAL POINTS AGIRC</t>
  </si>
  <si>
    <t>Retraite agirc (en € 2014)</t>
  </si>
  <si>
    <t>Lecture du tableau :</t>
  </si>
  <si>
    <t>Seuls les agents de catégorie A cotisent à l'AGIRC</t>
  </si>
  <si>
    <t>Les cotisations à l'AGRIC sont égales à 16 % de la part ud salaire au dessus du plafond de la sécu. Le montant des cotisations est donc non linéaires pour les fonctionnaires</t>
  </si>
  <si>
    <t>EN réalité on assiste à une sorte de course entre la valeur de plafond de la sécu, l'avancement à l'ancienneté et la revalorisation du point d'indice</t>
  </si>
  <si>
    <t>Le cas des années 2010 à 2014 est très révélateur : les agents sont tous à leur échelon maximum et le point d'indice est gelé tandis que le plafond progresse</t>
  </si>
  <si>
    <t>Il en résulte une baisse significative du nombre de points acquis pendant cette période</t>
  </si>
  <si>
    <t>plafond sécu</t>
  </si>
  <si>
    <t>CNAV</t>
  </si>
  <si>
    <t>date</t>
  </si>
  <si>
    <t>Annuel (€ ou FF)</t>
  </si>
  <si>
    <t>Mensuel (€ uniquement)</t>
  </si>
  <si>
    <t>coeff de revalorisation</t>
  </si>
  <si>
    <t>sauvegarde de la formule</t>
  </si>
  <si>
    <t>Pension CNAV</t>
  </si>
  <si>
    <t>décote (en trimestres)</t>
  </si>
  <si>
    <t>ARRCO tranche 1/A</t>
  </si>
  <si>
    <t>valeur du point</t>
  </si>
  <si>
    <t>salaire de référence arrco</t>
  </si>
  <si>
    <t>taux tranche 1 :</t>
  </si>
  <si>
    <t>Tranche 2</t>
  </si>
  <si>
    <t>TOTAL POINTS tranche 1</t>
  </si>
  <si>
    <t>ARRCO tranche 2</t>
  </si>
  <si>
    <t>TOTAL POINTS tranche 2</t>
  </si>
  <si>
    <t>TOTAL ARRCO</t>
  </si>
  <si>
    <t>PENSION ARRCO</t>
  </si>
  <si>
    <t>convergence</t>
  </si>
  <si>
    <t>année de départ à la retraite</t>
  </si>
  <si>
    <t>nombre de départ à la retraite pour l'année</t>
  </si>
  <si>
    <t>taux de progression de départ à la retraite</t>
  </si>
  <si>
    <t>économies moyennes par personne</t>
  </si>
  <si>
    <t>économies par an</t>
  </si>
  <si>
    <t>économies sur toute la retraite</t>
  </si>
  <si>
    <t>économies par an avec cycle de vie</t>
  </si>
  <si>
    <t>économies par an avec convergence en 5 ans</t>
  </si>
  <si>
    <t>économies par ans avec convergence en 10 ans</t>
  </si>
  <si>
    <t>convergence en 15 ans</t>
  </si>
  <si>
    <t>convergence en 20 ans</t>
  </si>
  <si>
    <t>TOTAL :</t>
  </si>
  <si>
    <t>MOYENNE SUR 25 ANS :</t>
  </si>
  <si>
    <t>aide à la copie (éco par personne)</t>
  </si>
  <si>
    <t>aide à la copié (année départ)</t>
  </si>
  <si>
    <t>Le document est découpé en 3 modules autonomes :</t>
  </si>
  <si>
    <t>Le premier module est la feuille d'instruction que vous êtes en train de lire</t>
  </si>
  <si>
    <t>Le deuxième module  comprend les feuilles « grilles et calculs individuels » ; « données complémentaires » ; « calculs agirc » ; « plafond sécu et CNAV » et « ARRCO »</t>
  </si>
  <si>
    <r>
      <t>Les feuilles constituant le 2</t>
    </r>
    <r>
      <rPr>
        <vertAlign val="superscript"/>
        <sz val="10"/>
        <rFont val="Arial"/>
        <family val="2"/>
        <charset val="1"/>
      </rPr>
      <t>e</t>
    </r>
    <r>
      <rPr>
        <sz val="10"/>
        <rFont val="Arial"/>
        <family val="2"/>
        <charset val="1"/>
      </rPr>
      <t>module forment un tout, modifier les paramètres d'une feuille et vous modifiez l'ensemble des résultats</t>
    </r>
  </si>
  <si>
    <r>
      <t>Le 3</t>
    </r>
    <r>
      <rPr>
        <vertAlign val="superscript"/>
        <sz val="10"/>
        <rFont val="Arial"/>
        <family val="2"/>
        <charset val="1"/>
      </rPr>
      <t>e</t>
    </r>
    <r>
      <rPr>
        <sz val="10"/>
        <rFont val="Arial"/>
        <family val="2"/>
        <charset val="1"/>
      </rPr>
      <t>module est la feuille « cohortes » qui permet d'effectuer des calculs à partir des résultats donnés dans la feuille grilles et calculs individuels</t>
    </r>
  </si>
  <si>
    <t>Le module n°3 partie peut être modifiée sans mettre en danger le 2e</t>
  </si>
  <si>
    <t>Les résultats donnés par le module 2 sont localisés dans la feuille grille et calculs individuels (colonne K en particulier)</t>
  </si>
  <si>
    <t>Les résultats de la colonne K sont donnés en fonction de l'année de départ à la retraite du fonctionnaire, indépendamment de l'année de démarrage de la vie professionnelle.</t>
  </si>
  <si>
    <t>La cellule K74 contrôle l'année de départ à la retraite. SI K74 vaut 2015, la dernière année travaillée est 2014</t>
  </si>
  <si>
    <t>K74 accepte les valeurs de 2015 à 2040</t>
  </si>
  <si>
    <t>Pour faciliter l'utilisation du module cohortes, la valeur de K74 peut être modifiée avec la cellule H33 de la feuille cohortes, le résultat est donné en H32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</si>
</sst>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0.00%"/>
    <numFmt numFmtId="167" formatCode="#,##0.00"/>
    <numFmt numFmtId="168" formatCode="0"/>
    <numFmt numFmtId="169" formatCode="0.0000"/>
    <numFmt numFmtId="170" formatCode="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i val="true"/>
      <u val="single"/>
      <sz val="10"/>
      <name val="Arial"/>
      <family val="2"/>
      <charset val="1"/>
    </font>
    <font>
      <sz val="10"/>
      <name val="Arial"/>
      <family val="2"/>
    </font>
    <font>
      <b val="true"/>
      <sz val="9"/>
      <name val="Arial"/>
      <family val="2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83CAFF"/>
      </patternFill>
    </fill>
    <fill>
      <patternFill patternType="solid">
        <fgColor rgb="FFCCCCCC"/>
        <bgColor rgb="FFDDDDDD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B3B3B3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CCCCC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B3B3B3"/>
      <rgbColor rgb="FFFFCC99"/>
      <rgbColor rgb="FF3366FF"/>
      <rgbColor rgb="FF66FFFF"/>
      <rgbColor rgb="FFAECF00"/>
      <rgbColor rgb="FFFFD320"/>
      <rgbColor rgb="FFFF9900"/>
      <rgbColor rgb="FFFF420E"/>
      <rgbColor rgb="FF666699"/>
      <rgbColor rgb="FF999999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'données complémentaires'!$G$2</c:f>
              <c:strCache>
                <c:ptCount val="1"/>
                <c:pt idx="0">
                  <c:v>évolution annuelle PSS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'données complémentaires'!$A$3:$A$73</c:f>
              <c:strCache>
                <c:ptCount val="71"/>
                <c:pt idx="0">
                  <c:v>2040</c:v>
                </c:pt>
                <c:pt idx="1">
                  <c:v>2039</c:v>
                </c:pt>
                <c:pt idx="2">
                  <c:v>2038</c:v>
                </c:pt>
                <c:pt idx="3">
                  <c:v>2037</c:v>
                </c:pt>
                <c:pt idx="4">
                  <c:v>2036</c:v>
                </c:pt>
                <c:pt idx="5">
                  <c:v>2035</c:v>
                </c:pt>
                <c:pt idx="6">
                  <c:v>2034</c:v>
                </c:pt>
                <c:pt idx="7">
                  <c:v>2033</c:v>
                </c:pt>
                <c:pt idx="8">
                  <c:v>2032</c:v>
                </c:pt>
                <c:pt idx="9">
                  <c:v>2031</c:v>
                </c:pt>
                <c:pt idx="10">
                  <c:v>2030</c:v>
                </c:pt>
                <c:pt idx="11">
                  <c:v>2029</c:v>
                </c:pt>
                <c:pt idx="12">
                  <c:v>2028</c:v>
                </c:pt>
                <c:pt idx="13">
                  <c:v>2027</c:v>
                </c:pt>
                <c:pt idx="14">
                  <c:v>2026</c:v>
                </c:pt>
                <c:pt idx="15">
                  <c:v>2025</c:v>
                </c:pt>
                <c:pt idx="16">
                  <c:v>2024</c:v>
                </c:pt>
                <c:pt idx="17">
                  <c:v>2023</c:v>
                </c:pt>
                <c:pt idx="18">
                  <c:v>2022</c:v>
                </c:pt>
                <c:pt idx="19">
                  <c:v>2021</c:v>
                </c:pt>
                <c:pt idx="20">
                  <c:v>2020</c:v>
                </c:pt>
                <c:pt idx="21">
                  <c:v>2019</c:v>
                </c:pt>
                <c:pt idx="22">
                  <c:v>2018</c:v>
                </c:pt>
                <c:pt idx="23">
                  <c:v>2017</c:v>
                </c:pt>
                <c:pt idx="24">
                  <c:v>2016</c:v>
                </c:pt>
                <c:pt idx="25">
                  <c:v>2015</c:v>
                </c:pt>
                <c:pt idx="26">
                  <c:v>2014</c:v>
                </c:pt>
                <c:pt idx="27">
                  <c:v>2013</c:v>
                </c:pt>
                <c:pt idx="28">
                  <c:v>2012</c:v>
                </c:pt>
                <c:pt idx="29">
                  <c:v>2011</c:v>
                </c:pt>
                <c:pt idx="30">
                  <c:v>2010</c:v>
                </c:pt>
                <c:pt idx="31">
                  <c:v>2009</c:v>
                </c:pt>
                <c:pt idx="32">
                  <c:v>2008</c:v>
                </c:pt>
                <c:pt idx="33">
                  <c:v>2007</c:v>
                </c:pt>
                <c:pt idx="34">
                  <c:v>2006</c:v>
                </c:pt>
                <c:pt idx="35">
                  <c:v>2005</c:v>
                </c:pt>
                <c:pt idx="36">
                  <c:v>2004</c:v>
                </c:pt>
                <c:pt idx="37">
                  <c:v>2003</c:v>
                </c:pt>
                <c:pt idx="38">
                  <c:v>2002</c:v>
                </c:pt>
                <c:pt idx="39">
                  <c:v>2001</c:v>
                </c:pt>
                <c:pt idx="40">
                  <c:v>2000</c:v>
                </c:pt>
                <c:pt idx="41">
                  <c:v>1999</c:v>
                </c:pt>
                <c:pt idx="42">
                  <c:v>1998</c:v>
                </c:pt>
                <c:pt idx="43">
                  <c:v>1997</c:v>
                </c:pt>
                <c:pt idx="44">
                  <c:v>1996</c:v>
                </c:pt>
                <c:pt idx="45">
                  <c:v>1995</c:v>
                </c:pt>
                <c:pt idx="46">
                  <c:v>1994</c:v>
                </c:pt>
                <c:pt idx="47">
                  <c:v>1993</c:v>
                </c:pt>
                <c:pt idx="48">
                  <c:v>1992</c:v>
                </c:pt>
                <c:pt idx="49">
                  <c:v>1991</c:v>
                </c:pt>
                <c:pt idx="50">
                  <c:v>1990</c:v>
                </c:pt>
                <c:pt idx="51">
                  <c:v>1989</c:v>
                </c:pt>
                <c:pt idx="52">
                  <c:v>1988</c:v>
                </c:pt>
                <c:pt idx="53">
                  <c:v>1987</c:v>
                </c:pt>
                <c:pt idx="54">
                  <c:v>1986</c:v>
                </c:pt>
                <c:pt idx="55">
                  <c:v>1985</c:v>
                </c:pt>
                <c:pt idx="56">
                  <c:v>1984</c:v>
                </c:pt>
                <c:pt idx="57">
                  <c:v>1983</c:v>
                </c:pt>
                <c:pt idx="58">
                  <c:v>1982</c:v>
                </c:pt>
                <c:pt idx="59">
                  <c:v>1981</c:v>
                </c:pt>
                <c:pt idx="60">
                  <c:v>1980</c:v>
                </c:pt>
                <c:pt idx="61">
                  <c:v>1979</c:v>
                </c:pt>
                <c:pt idx="62">
                  <c:v>1978</c:v>
                </c:pt>
                <c:pt idx="63">
                  <c:v>1977</c:v>
                </c:pt>
                <c:pt idx="64">
                  <c:v>1976</c:v>
                </c:pt>
                <c:pt idx="65">
                  <c:v>1975</c:v>
                </c:pt>
                <c:pt idx="66">
                  <c:v>1974</c:v>
                </c:pt>
                <c:pt idx="67">
                  <c:v>1973</c:v>
                </c:pt>
                <c:pt idx="68">
                  <c:v>1972</c:v>
                </c:pt>
                <c:pt idx="69">
                  <c:v>1971</c:v>
                </c:pt>
                <c:pt idx="70">
                  <c:v>1970</c:v>
                </c:pt>
              </c:strCache>
            </c:strRef>
          </c:cat>
          <c:val>
            <c:numRef>
              <c:f>'données complémentaires'!$G$3:$G$73</c:f>
              <c:numCache>
                <c:formatCode>General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0.0139338950097213</c:v>
                </c:pt>
                <c:pt idx="27">
                  <c:v>0.0181458264599142</c:v>
                </c:pt>
                <c:pt idx="28">
                  <c:v>0.0288526816021724</c:v>
                </c:pt>
                <c:pt idx="29">
                  <c:v>0.0211438474870017</c:v>
                </c:pt>
                <c:pt idx="30">
                  <c:v>0.00909408884225254</c:v>
                </c:pt>
                <c:pt idx="31">
                  <c:v>0.0310133429498738</c:v>
                </c:pt>
                <c:pt idx="32">
                  <c:v>0.0339299030574198</c:v>
                </c:pt>
                <c:pt idx="33">
                  <c:v>0.0359212050984936</c:v>
                </c:pt>
                <c:pt idx="34">
                  <c:v>0.0290143084260731</c:v>
                </c:pt>
                <c:pt idx="35">
                  <c:v>0.0161550888529887</c:v>
                </c:pt>
                <c:pt idx="36">
                  <c:v>0.0180921052631579</c:v>
                </c:pt>
                <c:pt idx="37">
                  <c:v>0.0340136054421769</c:v>
                </c:pt>
                <c:pt idx="38">
                  <c:v>0.0319805110367871</c:v>
                </c:pt>
                <c:pt idx="39">
                  <c:v>0.0170068027210918</c:v>
                </c:pt>
                <c:pt idx="40">
                  <c:v>0.0158949550794727</c:v>
                </c:pt>
                <c:pt idx="41">
                  <c:v>0.0269694819020601</c:v>
                </c:pt>
                <c:pt idx="42">
                  <c:v>0.0269679300291537</c:v>
                </c:pt>
                <c:pt idx="43">
                  <c:v>0.0212893146959325</c:v>
                </c:pt>
                <c:pt idx="44">
                  <c:v>0.0338213023725391</c:v>
                </c:pt>
                <c:pt idx="45">
                  <c:v>0.0185089974293059</c:v>
                </c:pt>
                <c:pt idx="46">
                  <c:v>0.0215336134453781</c:v>
                </c:pt>
                <c:pt idx="47">
                  <c:v>0.0398689240851993</c:v>
                </c:pt>
                <c:pt idx="48">
                  <c:v>0.0456881781838949</c:v>
                </c:pt>
                <c:pt idx="49">
                  <c:v>0.0516516516516517</c:v>
                </c:pt>
                <c:pt idx="50">
                  <c:v>0.0458542713567839</c:v>
                </c:pt>
                <c:pt idx="51">
                  <c:v>0.0412034009156311</c:v>
                </c:pt>
                <c:pt idx="52">
                  <c:v>0.0303234501347709</c:v>
                </c:pt>
                <c:pt idx="53">
                  <c:v>0.0414035087719298</c:v>
                </c:pt>
                <c:pt idx="54">
                  <c:v>0.0532150776053215</c:v>
                </c:pt>
                <c:pt idx="55">
                  <c:v>0.0695652173913043</c:v>
                </c:pt>
                <c:pt idx="56">
                  <c:v>0.0858369098712446</c:v>
                </c:pt>
                <c:pt idx="57">
                  <c:v>0.118042226487524</c:v>
                </c:pt>
                <c:pt idx="58">
                  <c:v>0.192857232111692</c:v>
                </c:pt>
                <c:pt idx="59">
                  <c:v>0.1437125748503</c:v>
                </c:pt>
                <c:pt idx="60">
                  <c:v>0.120805369127517</c:v>
                </c:pt>
                <c:pt idx="61">
                  <c:v>0.117499999999998</c:v>
                </c:pt>
                <c:pt idx="62">
                  <c:v>0.10803324099723</c:v>
                </c:pt>
                <c:pt idx="63">
                  <c:v>0.14240506329114</c:v>
                </c:pt>
                <c:pt idx="64">
                  <c:v>0.149090909090908</c:v>
                </c:pt>
                <c:pt idx="65">
                  <c:v>0.185344827586209</c:v>
                </c:pt>
                <c:pt idx="66">
                  <c:v>0.137254901960785</c:v>
                </c:pt>
                <c:pt idx="67">
                  <c:v>0.114754098360655</c:v>
                </c:pt>
                <c:pt idx="68">
                  <c:v>0.10909090909091</c:v>
                </c:pt>
                <c:pt idx="69">
                  <c:v>0.0999999999999974</c:v>
                </c:pt>
                <c:pt idx="70">
                  <c:v>0.102941176470591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'données complémentaires'!$I$2</c:f>
              <c:strCache>
                <c:ptCount val="1"/>
                <c:pt idx="0">
                  <c:v>diff indice/ARRCO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'données complémentaires'!$A$3:$A$73</c:f>
              <c:strCache>
                <c:ptCount val="71"/>
                <c:pt idx="0">
                  <c:v>2040</c:v>
                </c:pt>
                <c:pt idx="1">
                  <c:v>2039</c:v>
                </c:pt>
                <c:pt idx="2">
                  <c:v>2038</c:v>
                </c:pt>
                <c:pt idx="3">
                  <c:v>2037</c:v>
                </c:pt>
                <c:pt idx="4">
                  <c:v>2036</c:v>
                </c:pt>
                <c:pt idx="5">
                  <c:v>2035</c:v>
                </c:pt>
                <c:pt idx="6">
                  <c:v>2034</c:v>
                </c:pt>
                <c:pt idx="7">
                  <c:v>2033</c:v>
                </c:pt>
                <c:pt idx="8">
                  <c:v>2032</c:v>
                </c:pt>
                <c:pt idx="9">
                  <c:v>2031</c:v>
                </c:pt>
                <c:pt idx="10">
                  <c:v>2030</c:v>
                </c:pt>
                <c:pt idx="11">
                  <c:v>2029</c:v>
                </c:pt>
                <c:pt idx="12">
                  <c:v>2028</c:v>
                </c:pt>
                <c:pt idx="13">
                  <c:v>2027</c:v>
                </c:pt>
                <c:pt idx="14">
                  <c:v>2026</c:v>
                </c:pt>
                <c:pt idx="15">
                  <c:v>2025</c:v>
                </c:pt>
                <c:pt idx="16">
                  <c:v>2024</c:v>
                </c:pt>
                <c:pt idx="17">
                  <c:v>2023</c:v>
                </c:pt>
                <c:pt idx="18">
                  <c:v>2022</c:v>
                </c:pt>
                <c:pt idx="19">
                  <c:v>2021</c:v>
                </c:pt>
                <c:pt idx="20">
                  <c:v>2020</c:v>
                </c:pt>
                <c:pt idx="21">
                  <c:v>2019</c:v>
                </c:pt>
                <c:pt idx="22">
                  <c:v>2018</c:v>
                </c:pt>
                <c:pt idx="23">
                  <c:v>2017</c:v>
                </c:pt>
                <c:pt idx="24">
                  <c:v>2016</c:v>
                </c:pt>
                <c:pt idx="25">
                  <c:v>2015</c:v>
                </c:pt>
                <c:pt idx="26">
                  <c:v>2014</c:v>
                </c:pt>
                <c:pt idx="27">
                  <c:v>2013</c:v>
                </c:pt>
                <c:pt idx="28">
                  <c:v>2012</c:v>
                </c:pt>
                <c:pt idx="29">
                  <c:v>2011</c:v>
                </c:pt>
                <c:pt idx="30">
                  <c:v>2010</c:v>
                </c:pt>
                <c:pt idx="31">
                  <c:v>2009</c:v>
                </c:pt>
                <c:pt idx="32">
                  <c:v>2008</c:v>
                </c:pt>
                <c:pt idx="33">
                  <c:v>2007</c:v>
                </c:pt>
                <c:pt idx="34">
                  <c:v>2006</c:v>
                </c:pt>
                <c:pt idx="35">
                  <c:v>2005</c:v>
                </c:pt>
                <c:pt idx="36">
                  <c:v>2004</c:v>
                </c:pt>
                <c:pt idx="37">
                  <c:v>2003</c:v>
                </c:pt>
                <c:pt idx="38">
                  <c:v>2002</c:v>
                </c:pt>
                <c:pt idx="39">
                  <c:v>2001</c:v>
                </c:pt>
                <c:pt idx="40">
                  <c:v>2000</c:v>
                </c:pt>
                <c:pt idx="41">
                  <c:v>1999</c:v>
                </c:pt>
                <c:pt idx="42">
                  <c:v>1998</c:v>
                </c:pt>
                <c:pt idx="43">
                  <c:v>1997</c:v>
                </c:pt>
                <c:pt idx="44">
                  <c:v>1996</c:v>
                </c:pt>
                <c:pt idx="45">
                  <c:v>1995</c:v>
                </c:pt>
                <c:pt idx="46">
                  <c:v>1994</c:v>
                </c:pt>
                <c:pt idx="47">
                  <c:v>1993</c:v>
                </c:pt>
                <c:pt idx="48">
                  <c:v>1992</c:v>
                </c:pt>
                <c:pt idx="49">
                  <c:v>1991</c:v>
                </c:pt>
                <c:pt idx="50">
                  <c:v>1990</c:v>
                </c:pt>
                <c:pt idx="51">
                  <c:v>1989</c:v>
                </c:pt>
                <c:pt idx="52">
                  <c:v>1988</c:v>
                </c:pt>
                <c:pt idx="53">
                  <c:v>1987</c:v>
                </c:pt>
                <c:pt idx="54">
                  <c:v>1986</c:v>
                </c:pt>
                <c:pt idx="55">
                  <c:v>1985</c:v>
                </c:pt>
                <c:pt idx="56">
                  <c:v>1984</c:v>
                </c:pt>
                <c:pt idx="57">
                  <c:v>1983</c:v>
                </c:pt>
                <c:pt idx="58">
                  <c:v>1982</c:v>
                </c:pt>
                <c:pt idx="59">
                  <c:v>1981</c:v>
                </c:pt>
                <c:pt idx="60">
                  <c:v>1980</c:v>
                </c:pt>
                <c:pt idx="61">
                  <c:v>1979</c:v>
                </c:pt>
                <c:pt idx="62">
                  <c:v>1978</c:v>
                </c:pt>
                <c:pt idx="63">
                  <c:v>1977</c:v>
                </c:pt>
                <c:pt idx="64">
                  <c:v>1976</c:v>
                </c:pt>
                <c:pt idx="65">
                  <c:v>1975</c:v>
                </c:pt>
                <c:pt idx="66">
                  <c:v>1974</c:v>
                </c:pt>
                <c:pt idx="67">
                  <c:v>1973</c:v>
                </c:pt>
                <c:pt idx="68">
                  <c:v>1972</c:v>
                </c:pt>
                <c:pt idx="69">
                  <c:v>1971</c:v>
                </c:pt>
                <c:pt idx="70">
                  <c:v>1970</c:v>
                </c:pt>
              </c:strCache>
            </c:strRef>
          </c:cat>
          <c:val>
            <c:numRef>
              <c:f>'données complémentaires'!$I$3:$I$73</c:f>
              <c:numCache>
                <c:formatCode>General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-0.002</c:v>
                </c:pt>
                <c:pt idx="27">
                  <c:v>-0.0117</c:v>
                </c:pt>
                <c:pt idx="28">
                  <c:v>-0.0225</c:v>
                </c:pt>
                <c:pt idx="29">
                  <c:v>-0.022</c:v>
                </c:pt>
                <c:pt idx="30">
                  <c:v>-0.00498500771928296</c:v>
                </c:pt>
                <c:pt idx="31">
                  <c:v>-0.00990549954187258</c:v>
                </c:pt>
                <c:pt idx="32">
                  <c:v>-0.0284129043885734</c:v>
                </c:pt>
                <c:pt idx="33">
                  <c:v>-0.027156986775076</c:v>
                </c:pt>
                <c:pt idx="34">
                  <c:v>-0.0168931302301452</c:v>
                </c:pt>
                <c:pt idx="35">
                  <c:v>-0.0155573263982348</c:v>
                </c:pt>
                <c:pt idx="36">
                  <c:v>-0.0179993618233185</c:v>
                </c:pt>
                <c:pt idx="37">
                  <c:v>-0.00858640873587038</c:v>
                </c:pt>
                <c:pt idx="38">
                  <c:v>-0.00287981459085947</c:v>
                </c:pt>
                <c:pt idx="39">
                  <c:v>-0.000494153477142642</c:v>
                </c:pt>
                <c:pt idx="40">
                  <c:v>-0.049401068989409</c:v>
                </c:pt>
                <c:pt idx="41">
                  <c:v>-0.0570296553852143</c:v>
                </c:pt>
                <c:pt idx="42">
                  <c:v>-0.02753996423631</c:v>
                </c:pt>
                <c:pt idx="43">
                  <c:v>-0.0465673865457262</c:v>
                </c:pt>
                <c:pt idx="44">
                  <c:v>-0.0447792857063246</c:v>
                </c:pt>
                <c:pt idx="45">
                  <c:v>0.00140190083701244</c:v>
                </c:pt>
                <c:pt idx="46">
                  <c:v>-0.00100078799940549</c:v>
                </c:pt>
                <c:pt idx="47">
                  <c:v>0.0246627957769987</c:v>
                </c:pt>
                <c:pt idx="48">
                  <c:v>0.00367992504299195</c:v>
                </c:pt>
                <c:pt idx="49">
                  <c:v>-0.0139021924700408</c:v>
                </c:pt>
                <c:pt idx="50">
                  <c:v>-0.0211462411500887</c:v>
                </c:pt>
                <c:pt idx="51">
                  <c:v>-0.0230608154555935</c:v>
                </c:pt>
                <c:pt idx="52">
                  <c:v>-0.0210478870582838</c:v>
                </c:pt>
                <c:pt idx="53">
                  <c:v>-0.0144133968134674</c:v>
                </c:pt>
                <c:pt idx="54">
                  <c:v>-0.0318970538348789</c:v>
                </c:pt>
                <c:pt idx="55">
                  <c:v>-0.0245594724628047</c:v>
                </c:pt>
                <c:pt idx="56">
                  <c:v>0.0278950124239581</c:v>
                </c:pt>
                <c:pt idx="57">
                  <c:v>-0.0185951212142167</c:v>
                </c:pt>
                <c:pt idx="58">
                  <c:v>0.0141726035141461</c:v>
                </c:pt>
                <c:pt idx="59">
                  <c:v>0.0142548703002229</c:v>
                </c:pt>
                <c:pt idx="60">
                  <c:v>0.0075756883184217</c:v>
                </c:pt>
                <c:pt idx="61">
                  <c:v>-0.00918398266895622</c:v>
                </c:pt>
                <c:pt idx="62">
                  <c:v>0.0034964697828352</c:v>
                </c:pt>
                <c:pt idx="63">
                  <c:v>-0.0037516504979815</c:v>
                </c:pt>
                <c:pt idx="64">
                  <c:v>0.0039559531102242</c:v>
                </c:pt>
                <c:pt idx="65">
                  <c:v>-0.019515706141336</c:v>
                </c:pt>
                <c:pt idx="66">
                  <c:v>0.00690008496176725</c:v>
                </c:pt>
                <c:pt idx="67">
                  <c:v>-0.00267631426250439</c:v>
                </c:pt>
                <c:pt idx="68">
                  <c:v>0.0818581293157565</c:v>
                </c:pt>
                <c:pt idx="69">
                  <c:v>0.0654093097913322</c:v>
                </c:pt>
                <c:pt idx="70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upDownBars>
          <c:gapWidth val="150"/>
          <c:upBars/>
          <c:downBars/>
        </c:upDownBars>
        <c:marker val="1"/>
        <c:axId val="32357"/>
        <c:axId val="7812"/>
      </c:lineChart>
      <c:catAx>
        <c:axId val="323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b="1" sz="900">
                    <a:latin typeface="Arial"/>
                  </a:rPr>
                  <a:t>Année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812"/>
        <c:crosses val="autoZero"/>
        <c:auto val="1"/>
        <c:lblAlgn val="ctr"/>
        <c:lblOffset val="100"/>
      </c:catAx>
      <c:valAx>
        <c:axId val="781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b="1" sz="900">
                    <a:latin typeface="Arial"/>
                  </a:rPr>
                  <a:t>variation annuelle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235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b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'calculs agirc'!$J$2</c:f>
              <c:strCache>
                <c:ptCount val="1"/>
                <c:pt idx="0">
                  <c:v>ingénieur général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'calculs agirc'!$H$3:$H$45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'calculs agirc'!$J$3:$J$45</c:f>
              <c:numCache>
                <c:formatCode>General</c:formatCode>
                <c:ptCount val="43"/>
                <c:pt idx="0">
                  <c:v>62.1186348374941</c:v>
                </c:pt>
                <c:pt idx="1">
                  <c:v>62.8176086480776</c:v>
                </c:pt>
                <c:pt idx="2">
                  <c:v>63.7133318859624</c:v>
                </c:pt>
                <c:pt idx="3">
                  <c:v>65.6382093702535</c:v>
                </c:pt>
                <c:pt idx="4">
                  <c:v>68.0084798503453</c:v>
                </c:pt>
                <c:pt idx="5">
                  <c:v>68.4291928541176</c:v>
                </c:pt>
                <c:pt idx="6">
                  <c:v>70.8667347306725</c:v>
                </c:pt>
                <c:pt idx="7">
                  <c:v>75.0573330854423</c:v>
                </c:pt>
                <c:pt idx="8">
                  <c:v>79.0824357702713</c:v>
                </c:pt>
                <c:pt idx="9">
                  <c:v>82.3002060128042</c:v>
                </c:pt>
                <c:pt idx="10">
                  <c:v>84.7856107554764</c:v>
                </c:pt>
                <c:pt idx="11">
                  <c:v>83.7538347186451</c:v>
                </c:pt>
                <c:pt idx="12">
                  <c:v>86.5398695731188</c:v>
                </c:pt>
                <c:pt idx="13">
                  <c:v>93.3210256495832</c:v>
                </c:pt>
                <c:pt idx="14">
                  <c:v>85.4319684806708</c:v>
                </c:pt>
                <c:pt idx="15">
                  <c:v>91.4098281114333</c:v>
                </c:pt>
                <c:pt idx="16">
                  <c:v>85.2424444745324</c:v>
                </c:pt>
                <c:pt idx="17">
                  <c:v>90.585560352203</c:v>
                </c:pt>
                <c:pt idx="18">
                  <c:v>108.376590816584</c:v>
                </c:pt>
                <c:pt idx="19">
                  <c:v>116.103913298794</c:v>
                </c:pt>
                <c:pt idx="20">
                  <c:v>115.062271715903</c:v>
                </c:pt>
                <c:pt idx="21">
                  <c:v>105.151325685916</c:v>
                </c:pt>
                <c:pt idx="22">
                  <c:v>105.492520940761</c:v>
                </c:pt>
                <c:pt idx="23">
                  <c:v>106.895995975135</c:v>
                </c:pt>
                <c:pt idx="24">
                  <c:v>109.943352001758</c:v>
                </c:pt>
                <c:pt idx="25">
                  <c:v>107.081611411618</c:v>
                </c:pt>
                <c:pt idx="26">
                  <c:v>104.839403662504</c:v>
                </c:pt>
                <c:pt idx="27">
                  <c:v>115.515560043762</c:v>
                </c:pt>
                <c:pt idx="28">
                  <c:v>119.855452257383</c:v>
                </c:pt>
                <c:pt idx="29">
                  <c:v>120.982959025103</c:v>
                </c:pt>
                <c:pt idx="30">
                  <c:v>120.930396359292</c:v>
                </c:pt>
                <c:pt idx="31">
                  <c:v>110.339016836264</c:v>
                </c:pt>
                <c:pt idx="32">
                  <c:v>114.973922515682</c:v>
                </c:pt>
                <c:pt idx="33">
                  <c:v>97.7237980829623</c:v>
                </c:pt>
                <c:pt idx="34">
                  <c:v>96.7925499361501</c:v>
                </c:pt>
                <c:pt idx="35">
                  <c:v>100.88354847703</c:v>
                </c:pt>
                <c:pt idx="36">
                  <c:v>93.7435993293446</c:v>
                </c:pt>
                <c:pt idx="37">
                  <c:v>93.7277203442773</c:v>
                </c:pt>
                <c:pt idx="38">
                  <c:v>94.0377928344828</c:v>
                </c:pt>
                <c:pt idx="39">
                  <c:v>96.841002178095</c:v>
                </c:pt>
                <c:pt idx="40">
                  <c:v>94.1377326379307</c:v>
                </c:pt>
                <c:pt idx="41">
                  <c:v>93.669852012877</c:v>
                </c:pt>
                <c:pt idx="42">
                  <c:v>86.0102347300259</c:v>
                </c:pt>
              </c:numCache>
            </c:numRef>
          </c:val>
        </c:ser>
        <c:ser>
          <c:idx val="1"/>
          <c:order val="1"/>
          <c:tx>
            <c:strRef>
              <c:f>'calculs agirc'!$K$2</c:f>
              <c:strCache>
                <c:ptCount val="1"/>
                <c:pt idx="0">
                  <c:v>prof agrégé (choix)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'calculs agirc'!$H$3:$H$45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'calculs agirc'!$K$3:$K$45</c:f>
              <c:numCache>
                <c:formatCode>General</c:formatCode>
                <c:ptCount val="43"/>
                <c:pt idx="0">
                  <c:v>18.4781959114461</c:v>
                </c:pt>
                <c:pt idx="1">
                  <c:v>19.5098731841678</c:v>
                </c:pt>
                <c:pt idx="2">
                  <c:v>20.8123302291036</c:v>
                </c:pt>
                <c:pt idx="3">
                  <c:v>22.9784499357401</c:v>
                </c:pt>
                <c:pt idx="4">
                  <c:v>24.8847075165675</c:v>
                </c:pt>
                <c:pt idx="5">
                  <c:v>25.092029841618</c:v>
                </c:pt>
                <c:pt idx="6">
                  <c:v>27.1038182189874</c:v>
                </c:pt>
                <c:pt idx="7">
                  <c:v>30.0581244574166</c:v>
                </c:pt>
                <c:pt idx="8">
                  <c:v>32.8735152496749</c:v>
                </c:pt>
                <c:pt idx="9">
                  <c:v>34.9753970002512</c:v>
                </c:pt>
                <c:pt idx="10">
                  <c:v>36.3811543154648</c:v>
                </c:pt>
                <c:pt idx="11">
                  <c:v>38.0733683055333</c:v>
                </c:pt>
                <c:pt idx="12">
                  <c:v>40.4699535386927</c:v>
                </c:pt>
                <c:pt idx="13">
                  <c:v>44.4510028149305</c:v>
                </c:pt>
                <c:pt idx="14">
                  <c:v>44.6806340284892</c:v>
                </c:pt>
                <c:pt idx="15">
                  <c:v>48.3051813226079</c:v>
                </c:pt>
                <c:pt idx="16">
                  <c:v>46.6161387518813</c:v>
                </c:pt>
                <c:pt idx="17">
                  <c:v>50.2356932343921</c:v>
                </c:pt>
                <c:pt idx="18">
                  <c:v>54.9687314136135</c:v>
                </c:pt>
                <c:pt idx="19">
                  <c:v>59.9673311502083</c:v>
                </c:pt>
                <c:pt idx="20">
                  <c:v>59.0022790604895</c:v>
                </c:pt>
                <c:pt idx="21">
                  <c:v>50.0560808604971</c:v>
                </c:pt>
                <c:pt idx="22">
                  <c:v>50.8467466391004</c:v>
                </c:pt>
                <c:pt idx="23">
                  <c:v>52.446112676895</c:v>
                </c:pt>
                <c:pt idx="24">
                  <c:v>59.9893770360143</c:v>
                </c:pt>
                <c:pt idx="25">
                  <c:v>48.8720128777781</c:v>
                </c:pt>
                <c:pt idx="26">
                  <c:v>48.8152324995126</c:v>
                </c:pt>
                <c:pt idx="27">
                  <c:v>54.2966917993426</c:v>
                </c:pt>
                <c:pt idx="28">
                  <c:v>57.7651139837762</c:v>
                </c:pt>
                <c:pt idx="29">
                  <c:v>49.0496598825364</c:v>
                </c:pt>
                <c:pt idx="30">
                  <c:v>54.9225228577597</c:v>
                </c:pt>
                <c:pt idx="31">
                  <c:v>49.9374824280612</c:v>
                </c:pt>
                <c:pt idx="32">
                  <c:v>43.9789711952587</c:v>
                </c:pt>
                <c:pt idx="33">
                  <c:v>48.2407963226666</c:v>
                </c:pt>
                <c:pt idx="34">
                  <c:v>47.9285575914932</c:v>
                </c:pt>
                <c:pt idx="35">
                  <c:v>41.8115140774945</c:v>
                </c:pt>
                <c:pt idx="36">
                  <c:v>42.8870376921112</c:v>
                </c:pt>
                <c:pt idx="37">
                  <c:v>43.0321697321191</c:v>
                </c:pt>
                <c:pt idx="38">
                  <c:v>42.0263898878433</c:v>
                </c:pt>
                <c:pt idx="39">
                  <c:v>45.0151896697512</c:v>
                </c:pt>
                <c:pt idx="40">
                  <c:v>40.9153947138728</c:v>
                </c:pt>
                <c:pt idx="41">
                  <c:v>23.4269728063837</c:v>
                </c:pt>
                <c:pt idx="42">
                  <c:v>0</c:v>
                </c:pt>
              </c:numCache>
            </c:numRef>
          </c:val>
        </c:ser>
        <c:gapWidth val="100"/>
        <c:overlap val="0"/>
        <c:axId val="23265"/>
        <c:axId val="10192"/>
      </c:barChart>
      <c:catAx>
        <c:axId val="2326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0192"/>
        <c:crosses val="autoZero"/>
        <c:auto val="1"/>
        <c:lblAlgn val="ctr"/>
        <c:lblOffset val="100"/>
      </c:catAx>
      <c:valAx>
        <c:axId val="101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326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ARRCO!$H$2</c:f>
              <c:strCache>
                <c:ptCount val="1"/>
                <c:pt idx="0">
                  <c:v>catégorie B 2egrade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ARRCO!$H$3:$H$45</c:f>
              <c:numCache>
                <c:formatCode>General</c:formatCode>
                <c:ptCount val="43"/>
                <c:pt idx="0">
                  <c:v>6.78237880843311</c:v>
                </c:pt>
                <c:pt idx="1">
                  <c:v>6.59239710015497</c:v>
                </c:pt>
                <c:pt idx="2">
                  <c:v>6.24157897534013</c:v>
                </c:pt>
                <c:pt idx="3">
                  <c:v>5.7502785023367</c:v>
                </c:pt>
                <c:pt idx="4">
                  <c:v>5.62846848598027</c:v>
                </c:pt>
                <c:pt idx="5">
                  <c:v>5.65632007644187</c:v>
                </c:pt>
                <c:pt idx="6">
                  <c:v>5.71188633721435</c:v>
                </c:pt>
                <c:pt idx="7">
                  <c:v>5.87327196616655</c:v>
                </c:pt>
                <c:pt idx="8">
                  <c:v>6.03121646816041</c:v>
                </c:pt>
                <c:pt idx="9">
                  <c:v>6.31221396932656</c:v>
                </c:pt>
                <c:pt idx="10">
                  <c:v>6.59276755847882</c:v>
                </c:pt>
                <c:pt idx="11">
                  <c:v>6.39811685218558</c:v>
                </c:pt>
                <c:pt idx="12">
                  <c:v>6.45263959218119</c:v>
                </c:pt>
                <c:pt idx="13">
                  <c:v>7.908995978203</c:v>
                </c:pt>
                <c:pt idx="14">
                  <c:v>7.91284588121588</c:v>
                </c:pt>
                <c:pt idx="15">
                  <c:v>7.73360825577147</c:v>
                </c:pt>
                <c:pt idx="16">
                  <c:v>8.64448043360592</c:v>
                </c:pt>
                <c:pt idx="17">
                  <c:v>9.3680664196474</c:v>
                </c:pt>
                <c:pt idx="18">
                  <c:v>10.3124810263829</c:v>
                </c:pt>
                <c:pt idx="19">
                  <c:v>10.4424622270618</c:v>
                </c:pt>
                <c:pt idx="20">
                  <c:v>10.4282151379298</c:v>
                </c:pt>
                <c:pt idx="21">
                  <c:v>10.4385334531828</c:v>
                </c:pt>
                <c:pt idx="22">
                  <c:v>10.6824817586304</c:v>
                </c:pt>
                <c:pt idx="23">
                  <c:v>10.165775877556</c:v>
                </c:pt>
                <c:pt idx="24">
                  <c:v>12.3081954527559</c:v>
                </c:pt>
                <c:pt idx="25">
                  <c:v>10.5171638211441</c:v>
                </c:pt>
                <c:pt idx="26">
                  <c:v>8.50262702134949</c:v>
                </c:pt>
                <c:pt idx="27">
                  <c:v>10.6926027248107</c:v>
                </c:pt>
                <c:pt idx="28">
                  <c:v>10.844815319978</c:v>
                </c:pt>
                <c:pt idx="29">
                  <c:v>9.40376914695456</c:v>
                </c:pt>
                <c:pt idx="30">
                  <c:v>11.0230099404818</c:v>
                </c:pt>
                <c:pt idx="31">
                  <c:v>8.53165454609376</c:v>
                </c:pt>
                <c:pt idx="32">
                  <c:v>8.82931012867324</c:v>
                </c:pt>
                <c:pt idx="33">
                  <c:v>8.39267221318402</c:v>
                </c:pt>
                <c:pt idx="34">
                  <c:v>8.28768377397218</c:v>
                </c:pt>
                <c:pt idx="35">
                  <c:v>9.64670302388647</c:v>
                </c:pt>
                <c:pt idx="36">
                  <c:v>9.72665773607906</c:v>
                </c:pt>
                <c:pt idx="37">
                  <c:v>9.47298372367757</c:v>
                </c:pt>
                <c:pt idx="38">
                  <c:v>11.9491191266186</c:v>
                </c:pt>
                <c:pt idx="39">
                  <c:v>11.6263467993024</c:v>
                </c:pt>
                <c:pt idx="40">
                  <c:v>12.1650174213867</c:v>
                </c:pt>
                <c:pt idx="41">
                  <c:v>12.051625894877</c:v>
                </c:pt>
                <c:pt idx="4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ARRCO!$I$2</c:f>
              <c:strCache>
                <c:ptCount val="1"/>
                <c:pt idx="0">
                  <c:v>ingénieur général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ARRCO!$I$3:$I$45</c:f>
              <c:numCache>
                <c:formatCode>General</c:formatCode>
                <c:ptCount val="43"/>
                <c:pt idx="0">
                  <c:v>8.89963234571299</c:v>
                </c:pt>
                <c:pt idx="1">
                  <c:v>8.53146752121037</c:v>
                </c:pt>
                <c:pt idx="2">
                  <c:v>7.93350074404762</c:v>
                </c:pt>
                <c:pt idx="3">
                  <c:v>7.10405119008803</c:v>
                </c:pt>
                <c:pt idx="4">
                  <c:v>6.80958298333183</c:v>
                </c:pt>
                <c:pt idx="5">
                  <c:v>6.83596112462904</c:v>
                </c:pt>
                <c:pt idx="6">
                  <c:v>6.74966352624495</c:v>
                </c:pt>
                <c:pt idx="7">
                  <c:v>6.75011658807766</c:v>
                </c:pt>
                <c:pt idx="8">
                  <c:v>6.75714472138849</c:v>
                </c:pt>
                <c:pt idx="9">
                  <c:v>6.95576619273302</c:v>
                </c:pt>
                <c:pt idx="10">
                  <c:v>7.20978387472499</c:v>
                </c:pt>
                <c:pt idx="11">
                  <c:v>7.244563598451</c:v>
                </c:pt>
                <c:pt idx="12">
                  <c:v>7.11834483686286</c:v>
                </c:pt>
                <c:pt idx="13">
                  <c:v>8.5654945212347</c:v>
                </c:pt>
                <c:pt idx="14">
                  <c:v>8.54859003774697</c:v>
                </c:pt>
                <c:pt idx="15">
                  <c:v>8.65943713171545</c:v>
                </c:pt>
                <c:pt idx="16">
                  <c:v>9.53639379878779</c:v>
                </c:pt>
                <c:pt idx="17">
                  <c:v>10.1658560451519</c:v>
                </c:pt>
                <c:pt idx="18">
                  <c:v>11.0167832457647</c:v>
                </c:pt>
                <c:pt idx="19">
                  <c:v>11.4804759475734</c:v>
                </c:pt>
                <c:pt idx="20">
                  <c:v>11.5663454490857</c:v>
                </c:pt>
                <c:pt idx="21">
                  <c:v>11.4634748175542</c:v>
                </c:pt>
                <c:pt idx="22">
                  <c:v>11.5891599695783</c:v>
                </c:pt>
                <c:pt idx="23">
                  <c:v>11.3362964495174</c:v>
                </c:pt>
                <c:pt idx="24">
                  <c:v>13.2926981962385</c:v>
                </c:pt>
                <c:pt idx="25">
                  <c:v>11.1297956338227</c:v>
                </c:pt>
                <c:pt idx="26">
                  <c:v>9.25632491645491</c:v>
                </c:pt>
                <c:pt idx="27">
                  <c:v>11.5254954782008</c:v>
                </c:pt>
                <c:pt idx="28">
                  <c:v>11.3652366060244</c:v>
                </c:pt>
                <c:pt idx="29">
                  <c:v>9.9184947765498</c:v>
                </c:pt>
                <c:pt idx="30">
                  <c:v>11.3393790981993</c:v>
                </c:pt>
                <c:pt idx="31">
                  <c:v>9.16145216184367</c:v>
                </c:pt>
                <c:pt idx="32">
                  <c:v>9.25101844394314</c:v>
                </c:pt>
                <c:pt idx="33">
                  <c:v>8.61867499501478</c:v>
                </c:pt>
                <c:pt idx="34">
                  <c:v>8.47966256276337</c:v>
                </c:pt>
                <c:pt idx="35">
                  <c:v>10.4497491059929</c:v>
                </c:pt>
                <c:pt idx="36">
                  <c:v>10.4474176557319</c:v>
                </c:pt>
                <c:pt idx="37">
                  <c:v>10.3800674632777</c:v>
                </c:pt>
                <c:pt idx="38">
                  <c:v>12.5792764756258</c:v>
                </c:pt>
                <c:pt idx="39">
                  <c:v>12.0932472172909</c:v>
                </c:pt>
                <c:pt idx="40">
                  <c:v>12.1650174213867</c:v>
                </c:pt>
                <c:pt idx="41">
                  <c:v>12.1726436745801</c:v>
                </c:pt>
                <c:pt idx="42">
                  <c:v>12.0261360212007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ARRCO!$J$2</c:f>
              <c:strCache>
                <c:ptCount val="1"/>
                <c:pt idx="0">
                  <c:v>prof agrégé (choix)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ARRCO!$J$3:$J$45</c:f>
              <c:numCache>
                <c:formatCode>General</c:formatCode>
                <c:ptCount val="43"/>
                <c:pt idx="0">
                  <c:v>8.89963234571299</c:v>
                </c:pt>
                <c:pt idx="1">
                  <c:v>8.53146752121037</c:v>
                </c:pt>
                <c:pt idx="2">
                  <c:v>7.93350074404762</c:v>
                </c:pt>
                <c:pt idx="3">
                  <c:v>7.10405119008803</c:v>
                </c:pt>
                <c:pt idx="4">
                  <c:v>6.80958298333183</c:v>
                </c:pt>
                <c:pt idx="5">
                  <c:v>6.83596112462904</c:v>
                </c:pt>
                <c:pt idx="6">
                  <c:v>6.74966352624495</c:v>
                </c:pt>
                <c:pt idx="7">
                  <c:v>6.75011658807766</c:v>
                </c:pt>
                <c:pt idx="8">
                  <c:v>6.75714472138849</c:v>
                </c:pt>
                <c:pt idx="9">
                  <c:v>6.95576619273302</c:v>
                </c:pt>
                <c:pt idx="10">
                  <c:v>7.20978387472499</c:v>
                </c:pt>
                <c:pt idx="11">
                  <c:v>7.244563598451</c:v>
                </c:pt>
                <c:pt idx="12">
                  <c:v>7.11834483686286</c:v>
                </c:pt>
                <c:pt idx="13">
                  <c:v>8.5654945212347</c:v>
                </c:pt>
                <c:pt idx="14">
                  <c:v>8.54859003774697</c:v>
                </c:pt>
                <c:pt idx="15">
                  <c:v>8.65943713171545</c:v>
                </c:pt>
                <c:pt idx="16">
                  <c:v>9.53639379878779</c:v>
                </c:pt>
                <c:pt idx="17">
                  <c:v>10.1658560451519</c:v>
                </c:pt>
                <c:pt idx="18">
                  <c:v>11.0167832457647</c:v>
                </c:pt>
                <c:pt idx="19">
                  <c:v>11.4804759475734</c:v>
                </c:pt>
                <c:pt idx="20">
                  <c:v>11.5663454490857</c:v>
                </c:pt>
                <c:pt idx="21">
                  <c:v>11.4634748175542</c:v>
                </c:pt>
                <c:pt idx="22">
                  <c:v>11.5891599695783</c:v>
                </c:pt>
                <c:pt idx="23">
                  <c:v>11.3362964495174</c:v>
                </c:pt>
                <c:pt idx="24">
                  <c:v>13.2926981962385</c:v>
                </c:pt>
                <c:pt idx="25">
                  <c:v>11.1297956338227</c:v>
                </c:pt>
                <c:pt idx="26">
                  <c:v>9.25632491645491</c:v>
                </c:pt>
                <c:pt idx="27">
                  <c:v>11.5254954782008</c:v>
                </c:pt>
                <c:pt idx="28">
                  <c:v>11.3652366060244</c:v>
                </c:pt>
                <c:pt idx="29">
                  <c:v>9.9184947765498</c:v>
                </c:pt>
                <c:pt idx="30">
                  <c:v>11.3393790981993</c:v>
                </c:pt>
                <c:pt idx="31">
                  <c:v>9.16145216184367</c:v>
                </c:pt>
                <c:pt idx="32">
                  <c:v>9.25101844394314</c:v>
                </c:pt>
                <c:pt idx="33">
                  <c:v>8.61867499501478</c:v>
                </c:pt>
                <c:pt idx="34">
                  <c:v>8.47966256276337</c:v>
                </c:pt>
                <c:pt idx="35">
                  <c:v>10.4497491059929</c:v>
                </c:pt>
                <c:pt idx="36">
                  <c:v>10.4474176557319</c:v>
                </c:pt>
                <c:pt idx="37">
                  <c:v>10.3800674632777</c:v>
                </c:pt>
                <c:pt idx="38">
                  <c:v>12.5792764756258</c:v>
                </c:pt>
                <c:pt idx="39">
                  <c:v>12.0932472172909</c:v>
                </c:pt>
                <c:pt idx="40">
                  <c:v>12.1650174213867</c:v>
                </c:pt>
                <c:pt idx="41">
                  <c:v>12.1726436745801</c:v>
                </c:pt>
                <c:pt idx="4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ARRCO!$K$2</c:f>
              <c:strCache>
                <c:ptCount val="1"/>
                <c:pt idx="0">
                  <c:v>prof certifié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ARRCO!$K$3:$K$45</c:f>
              <c:numCache>
                <c:formatCode>General</c:formatCode>
                <c:ptCount val="43"/>
                <c:pt idx="0">
                  <c:v>8.66563657930782</c:v>
                </c:pt>
                <c:pt idx="1">
                  <c:v>8.42290280003152</c:v>
                </c:pt>
                <c:pt idx="2">
                  <c:v>7.93350074404762</c:v>
                </c:pt>
                <c:pt idx="3">
                  <c:v>7.10405119008803</c:v>
                </c:pt>
                <c:pt idx="4">
                  <c:v>6.80958298333183</c:v>
                </c:pt>
                <c:pt idx="5">
                  <c:v>6.83596112462904</c:v>
                </c:pt>
                <c:pt idx="6">
                  <c:v>6.74966352624495</c:v>
                </c:pt>
                <c:pt idx="7">
                  <c:v>6.75011658807766</c:v>
                </c:pt>
                <c:pt idx="8">
                  <c:v>6.75714472138849</c:v>
                </c:pt>
                <c:pt idx="9">
                  <c:v>6.95576619273302</c:v>
                </c:pt>
                <c:pt idx="10">
                  <c:v>7.20978387472499</c:v>
                </c:pt>
                <c:pt idx="11">
                  <c:v>7.244563598451</c:v>
                </c:pt>
                <c:pt idx="12">
                  <c:v>7.11834483686286</c:v>
                </c:pt>
                <c:pt idx="13">
                  <c:v>8.5654945212347</c:v>
                </c:pt>
                <c:pt idx="14">
                  <c:v>8.54859003774697</c:v>
                </c:pt>
                <c:pt idx="15">
                  <c:v>8.65943713171545</c:v>
                </c:pt>
                <c:pt idx="16">
                  <c:v>9.53639379878779</c:v>
                </c:pt>
                <c:pt idx="17">
                  <c:v>10.1658560451519</c:v>
                </c:pt>
                <c:pt idx="18">
                  <c:v>11.0167832457647</c:v>
                </c:pt>
                <c:pt idx="19">
                  <c:v>11.4804759475734</c:v>
                </c:pt>
                <c:pt idx="20">
                  <c:v>11.5663454490857</c:v>
                </c:pt>
                <c:pt idx="21">
                  <c:v>11.4634748175542</c:v>
                </c:pt>
                <c:pt idx="22">
                  <c:v>11.5891599695783</c:v>
                </c:pt>
                <c:pt idx="23">
                  <c:v>11.3362964495174</c:v>
                </c:pt>
                <c:pt idx="24">
                  <c:v>13.2926981962385</c:v>
                </c:pt>
                <c:pt idx="25">
                  <c:v>11.1297956338227</c:v>
                </c:pt>
                <c:pt idx="26">
                  <c:v>9.25632491645491</c:v>
                </c:pt>
                <c:pt idx="27">
                  <c:v>11.5254954782008</c:v>
                </c:pt>
                <c:pt idx="28">
                  <c:v>11.3652366060244</c:v>
                </c:pt>
                <c:pt idx="29">
                  <c:v>9.9184947765498</c:v>
                </c:pt>
                <c:pt idx="30">
                  <c:v>11.3393790981993</c:v>
                </c:pt>
                <c:pt idx="31">
                  <c:v>9.16145216184367</c:v>
                </c:pt>
                <c:pt idx="32">
                  <c:v>9.25101844394314</c:v>
                </c:pt>
                <c:pt idx="33">
                  <c:v>8.61867499501478</c:v>
                </c:pt>
                <c:pt idx="34">
                  <c:v>8.47966256276337</c:v>
                </c:pt>
                <c:pt idx="35">
                  <c:v>10.4497491059929</c:v>
                </c:pt>
                <c:pt idx="36">
                  <c:v>10.4474176557319</c:v>
                </c:pt>
                <c:pt idx="37">
                  <c:v>10.3800674632777</c:v>
                </c:pt>
                <c:pt idx="38">
                  <c:v>12.5792764756258</c:v>
                </c:pt>
                <c:pt idx="39">
                  <c:v>12.0932472172909</c:v>
                </c:pt>
                <c:pt idx="40">
                  <c:v>12.1650174213867</c:v>
                </c:pt>
                <c:pt idx="41">
                  <c:v>12.1726436745801</c:v>
                </c:pt>
                <c:pt idx="4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ARRCO!$L$2</c:f>
              <c:strCache>
                <c:ptCount val="1"/>
                <c:pt idx="0">
                  <c:v>brigadier de police municipale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ARRCO!$L$3:$L$45</c:f>
              <c:numCache>
                <c:formatCode>General</c:formatCode>
                <c:ptCount val="43"/>
                <c:pt idx="0">
                  <c:v>5.29421465505377</c:v>
                </c:pt>
                <c:pt idx="1">
                  <c:v>5.14591802159124</c:v>
                </c:pt>
                <c:pt idx="2">
                  <c:v>4.87207509566326</c:v>
                </c:pt>
                <c:pt idx="3">
                  <c:v>4.48857393218128</c:v>
                </c:pt>
                <c:pt idx="4">
                  <c:v>4.39349101334981</c:v>
                </c:pt>
                <c:pt idx="5">
                  <c:v>4.41523151215607</c:v>
                </c:pt>
                <c:pt idx="6">
                  <c:v>4.45860563212448</c:v>
                </c:pt>
                <c:pt idx="7">
                  <c:v>4.5845806308744</c:v>
                </c:pt>
                <c:pt idx="8">
                  <c:v>4.70786954185374</c:v>
                </c:pt>
                <c:pt idx="9">
                  <c:v>4.92721162384679</c:v>
                </c:pt>
                <c:pt idx="10">
                  <c:v>5.14620719533729</c:v>
                </c:pt>
                <c:pt idx="11">
                  <c:v>5.23839186192085</c:v>
                </c:pt>
                <c:pt idx="12">
                  <c:v>5.28303179021242</c:v>
                </c:pt>
                <c:pt idx="13">
                  <c:v>6.47540848742561</c:v>
                </c:pt>
                <c:pt idx="14">
                  <c:v>6.47856055561658</c:v>
                </c:pt>
                <c:pt idx="15">
                  <c:v>6.64297027897253</c:v>
                </c:pt>
                <c:pt idx="16">
                  <c:v>7.25911685619281</c:v>
                </c:pt>
                <c:pt idx="17">
                  <c:v>7.86674102383611</c:v>
                </c:pt>
                <c:pt idx="18">
                  <c:v>8.65980383931047</c:v>
                </c:pt>
                <c:pt idx="19">
                  <c:v>9.22219507812951</c:v>
                </c:pt>
                <c:pt idx="20">
                  <c:v>8.90498758412546</c:v>
                </c:pt>
                <c:pt idx="21">
                  <c:v>8.91379872467078</c:v>
                </c:pt>
                <c:pt idx="22">
                  <c:v>9.12211401184569</c:v>
                </c:pt>
                <c:pt idx="23">
                  <c:v>9.08941358642518</c:v>
                </c:pt>
                <c:pt idx="24">
                  <c:v>10.7443634368948</c:v>
                </c:pt>
                <c:pt idx="25">
                  <c:v>9.1808934017563</c:v>
                </c:pt>
                <c:pt idx="26">
                  <c:v>7.78882657022989</c:v>
                </c:pt>
                <c:pt idx="27">
                  <c:v>9.37249874893088</c:v>
                </c:pt>
                <c:pt idx="28">
                  <c:v>9.50591924480944</c:v>
                </c:pt>
                <c:pt idx="29">
                  <c:v>8.55984047895767</c:v>
                </c:pt>
                <c:pt idx="30">
                  <c:v>9.63809098705007</c:v>
                </c:pt>
                <c:pt idx="31">
                  <c:v>7.7581177362205</c:v>
                </c:pt>
                <c:pt idx="32">
                  <c:v>7.86398252677771</c:v>
                </c:pt>
                <c:pt idx="33">
                  <c:v>7.76495652579858</c:v>
                </c:pt>
                <c:pt idx="34">
                  <c:v>7.5071280848852</c:v>
                </c:pt>
                <c:pt idx="35">
                  <c:v>9.06461052012409</c:v>
                </c:pt>
                <c:pt idx="36">
                  <c:v>9.08378345200964</c:v>
                </c:pt>
                <c:pt idx="37">
                  <c:v>9.05502434525754</c:v>
                </c:pt>
                <c:pt idx="38">
                  <c:v>11.3516252197092</c:v>
                </c:pt>
                <c:pt idx="39">
                  <c:v>11.3111196193882</c:v>
                </c:pt>
                <c:pt idx="40">
                  <c:v>11.8749189744224</c:v>
                </c:pt>
                <c:pt idx="41">
                  <c:v>11.8304301537362</c:v>
                </c:pt>
                <c:pt idx="42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ARRCO!$M$2</c:f>
              <c:strCache>
                <c:ptCount val="1"/>
                <c:pt idx="0">
                  <c:v>adjoint admin principal 2e classe (Cat C service long)</c:v>
                </c:pt>
              </c:strCache>
            </c:strRef>
          </c:tx>
          <c:spPr>
            <a:solidFill>
              <a:srgbClr val="83caff"/>
            </a:solidFill>
            <a:ln w="28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ARRCO!$M$3:$M$45</c:f>
              <c:numCache>
                <c:formatCode>General</c:formatCode>
                <c:ptCount val="43"/>
                <c:pt idx="0">
                  <c:v>5.29421465505377</c:v>
                </c:pt>
                <c:pt idx="1">
                  <c:v>5.14591802159124</c:v>
                </c:pt>
                <c:pt idx="2">
                  <c:v>4.87207509566326</c:v>
                </c:pt>
                <c:pt idx="3">
                  <c:v>4.48857393218128</c:v>
                </c:pt>
                <c:pt idx="4">
                  <c:v>4.39349101334981</c:v>
                </c:pt>
                <c:pt idx="5">
                  <c:v>4.41523151215607</c:v>
                </c:pt>
                <c:pt idx="6">
                  <c:v>4.45860563212448</c:v>
                </c:pt>
                <c:pt idx="7">
                  <c:v>4.5845806308744</c:v>
                </c:pt>
                <c:pt idx="8">
                  <c:v>4.70786954185374</c:v>
                </c:pt>
                <c:pt idx="9">
                  <c:v>4.92721162384679</c:v>
                </c:pt>
                <c:pt idx="10">
                  <c:v>5.14620719533729</c:v>
                </c:pt>
                <c:pt idx="11">
                  <c:v>5.23839186192085</c:v>
                </c:pt>
                <c:pt idx="12">
                  <c:v>5.28303179021242</c:v>
                </c:pt>
                <c:pt idx="13">
                  <c:v>6.47540848742561</c:v>
                </c:pt>
                <c:pt idx="14">
                  <c:v>6.47856055561658</c:v>
                </c:pt>
                <c:pt idx="15">
                  <c:v>6.64297027897253</c:v>
                </c:pt>
                <c:pt idx="16">
                  <c:v>7.25911685619281</c:v>
                </c:pt>
                <c:pt idx="17">
                  <c:v>7.86674102383611</c:v>
                </c:pt>
                <c:pt idx="18">
                  <c:v>8.65980383931047</c:v>
                </c:pt>
                <c:pt idx="19">
                  <c:v>9.22219507812951</c:v>
                </c:pt>
                <c:pt idx="20">
                  <c:v>8.90498758412546</c:v>
                </c:pt>
                <c:pt idx="21">
                  <c:v>8.91379872467078</c:v>
                </c:pt>
                <c:pt idx="22">
                  <c:v>9.12211401184569</c:v>
                </c:pt>
                <c:pt idx="23">
                  <c:v>9.08941358642518</c:v>
                </c:pt>
                <c:pt idx="24">
                  <c:v>10.7443634368948</c:v>
                </c:pt>
                <c:pt idx="25">
                  <c:v>9.1808934017563</c:v>
                </c:pt>
                <c:pt idx="26">
                  <c:v>7.78882657022989</c:v>
                </c:pt>
                <c:pt idx="27">
                  <c:v>9.37249874893088</c:v>
                </c:pt>
                <c:pt idx="28">
                  <c:v>9.50591924480944</c:v>
                </c:pt>
                <c:pt idx="29">
                  <c:v>8.55984047895767</c:v>
                </c:pt>
                <c:pt idx="30">
                  <c:v>9.63809098705007</c:v>
                </c:pt>
                <c:pt idx="31">
                  <c:v>7.7581177362205</c:v>
                </c:pt>
                <c:pt idx="32">
                  <c:v>7.86398252677771</c:v>
                </c:pt>
                <c:pt idx="33">
                  <c:v>7.76495652579858</c:v>
                </c:pt>
                <c:pt idx="34">
                  <c:v>7.5071280848852</c:v>
                </c:pt>
                <c:pt idx="35">
                  <c:v>9.06461052012409</c:v>
                </c:pt>
                <c:pt idx="36">
                  <c:v>9.08378345200964</c:v>
                </c:pt>
                <c:pt idx="37">
                  <c:v>9.05502434525754</c:v>
                </c:pt>
                <c:pt idx="38">
                  <c:v>11.3516252197092</c:v>
                </c:pt>
                <c:pt idx="39">
                  <c:v>11.3111196193882</c:v>
                </c:pt>
                <c:pt idx="40">
                  <c:v>11.8749189744224</c:v>
                </c:pt>
                <c:pt idx="41">
                  <c:v>11.8304301537362</c:v>
                </c:pt>
                <c:pt idx="42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ARRCO!$N$2</c:f>
              <c:strCache>
                <c:ptCount val="1"/>
                <c:pt idx="0">
                  <c:v>adjoint admin principal 2e classe (Cat C service court)</c:v>
                </c:pt>
              </c:strCache>
            </c:strRef>
          </c:tx>
          <c:spPr>
            <a:solidFill>
              <a:srgbClr val="314004"/>
            </a:solidFill>
            <a:ln w="28800">
              <a:solidFill>
                <a:srgbClr val="314004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ARRCO!$N$3:$N$45</c:f>
              <c:numCache>
                <c:formatCode>General</c:formatCode>
                <c:ptCount val="43"/>
                <c:pt idx="0">
                  <c:v>5.29421465505377</c:v>
                </c:pt>
                <c:pt idx="1">
                  <c:v>5.14591802159124</c:v>
                </c:pt>
                <c:pt idx="2">
                  <c:v>4.87207509566326</c:v>
                </c:pt>
                <c:pt idx="3">
                  <c:v>4.48857393218128</c:v>
                </c:pt>
                <c:pt idx="4">
                  <c:v>4.39349101334981</c:v>
                </c:pt>
                <c:pt idx="5">
                  <c:v>4.41523151215607</c:v>
                </c:pt>
                <c:pt idx="6">
                  <c:v>4.45860563212448</c:v>
                </c:pt>
                <c:pt idx="7">
                  <c:v>4.5845806308744</c:v>
                </c:pt>
                <c:pt idx="8">
                  <c:v>4.70786954185374</c:v>
                </c:pt>
                <c:pt idx="9">
                  <c:v>4.92721162384679</c:v>
                </c:pt>
                <c:pt idx="10">
                  <c:v>5.03097338176797</c:v>
                </c:pt>
                <c:pt idx="11">
                  <c:v>5.12109385033543</c:v>
                </c:pt>
                <c:pt idx="12">
                  <c:v>5.16473420185537</c:v>
                </c:pt>
                <c:pt idx="13">
                  <c:v>6.33041121349127</c:v>
                </c:pt>
                <c:pt idx="14">
                  <c:v>6.12400051747248</c:v>
                </c:pt>
                <c:pt idx="15">
                  <c:v>6.27941239056773</c:v>
                </c:pt>
                <c:pt idx="16">
                  <c:v>7.01900791319438</c:v>
                </c:pt>
                <c:pt idx="17">
                  <c:v>7.60653376867059</c:v>
                </c:pt>
                <c:pt idx="18">
                  <c:v>8.1750604095846</c:v>
                </c:pt>
                <c:pt idx="19">
                  <c:v>8.7059710902973</c:v>
                </c:pt>
                <c:pt idx="20">
                  <c:v>8.69409316884478</c:v>
                </c:pt>
                <c:pt idx="21">
                  <c:v>8.32735059969968</c:v>
                </c:pt>
                <c:pt idx="22">
                  <c:v>8.52196060662989</c:v>
                </c:pt>
                <c:pt idx="23">
                  <c:v>8.49141157634022</c:v>
                </c:pt>
                <c:pt idx="24">
                  <c:v>9.87554007440524</c:v>
                </c:pt>
                <c:pt idx="25">
                  <c:v>8.43849719347266</c:v>
                </c:pt>
                <c:pt idx="26">
                  <c:v>7.0120477270246</c:v>
                </c:pt>
                <c:pt idx="27">
                  <c:v>8.81810297502454</c:v>
                </c:pt>
                <c:pt idx="28">
                  <c:v>8.75620221308497</c:v>
                </c:pt>
                <c:pt idx="29">
                  <c:v>7.88473920462029</c:v>
                </c:pt>
                <c:pt idx="30">
                  <c:v>9.18583144341575</c:v>
                </c:pt>
                <c:pt idx="31">
                  <c:v>7.39407440112865</c:v>
                </c:pt>
                <c:pt idx="32">
                  <c:v>7.60495498758387</c:v>
                </c:pt>
                <c:pt idx="33">
                  <c:v>7.50919075139917</c:v>
                </c:pt>
                <c:pt idx="34">
                  <c:v>7.39229819376372</c:v>
                </c:pt>
                <c:pt idx="35">
                  <c:v>8.89823850860957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ARRCO!$O$2</c:f>
              <c:strCache>
                <c:ptCount val="1"/>
                <c:pt idx="0">
                  <c:v>professeur des écoles (durée courte)</c:v>
                </c:pt>
              </c:strCache>
            </c:strRef>
          </c:tx>
          <c:spPr>
            <a:solidFill>
              <a:srgbClr val="aecf00"/>
            </a:solidFill>
            <a:ln w="28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dLbls>
            <c:dLblPos val="outEnd"/>
            <c:showLegendKey val="0"/>
            <c:showVal val="0"/>
            <c:showCatName val="0"/>
            <c:showSerName val="0"/>
            <c:showPercent val="0"/>
          </c:dLbls>
          <c:cat>
            <c:strRef>
              <c:f>ARRCO!$G$3:$G$45</c:f>
              <c:strCache>
                <c:ptCount val="4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</c:strCache>
            </c:strRef>
          </c:cat>
          <c:val>
            <c:numRef>
              <c:f>ARRCO!$O$3:$O$45</c:f>
              <c:numCache>
                <c:formatCode>General</c:formatCode>
                <c:ptCount val="43"/>
                <c:pt idx="0">
                  <c:v>8.66563657930782</c:v>
                </c:pt>
                <c:pt idx="1">
                  <c:v>8.42290280003152</c:v>
                </c:pt>
                <c:pt idx="2">
                  <c:v>7.93350074404762</c:v>
                </c:pt>
                <c:pt idx="3">
                  <c:v>7.10405119008803</c:v>
                </c:pt>
                <c:pt idx="4">
                  <c:v>6.80958298333183</c:v>
                </c:pt>
                <c:pt idx="5">
                  <c:v>6.83596112462904</c:v>
                </c:pt>
                <c:pt idx="6">
                  <c:v>6.74966352624495</c:v>
                </c:pt>
                <c:pt idx="7">
                  <c:v>6.75011658807766</c:v>
                </c:pt>
                <c:pt idx="8">
                  <c:v>6.75714472138849</c:v>
                </c:pt>
                <c:pt idx="9">
                  <c:v>6.95576619273302</c:v>
                </c:pt>
                <c:pt idx="10">
                  <c:v>7.20978387472499</c:v>
                </c:pt>
                <c:pt idx="11">
                  <c:v>7.244563598451</c:v>
                </c:pt>
                <c:pt idx="12">
                  <c:v>7.11834483686286</c:v>
                </c:pt>
                <c:pt idx="13">
                  <c:v>8.5654945212347</c:v>
                </c:pt>
                <c:pt idx="14">
                  <c:v>8.54859003774697</c:v>
                </c:pt>
                <c:pt idx="15">
                  <c:v>8.65943713171545</c:v>
                </c:pt>
                <c:pt idx="16">
                  <c:v>9.53639379878779</c:v>
                </c:pt>
                <c:pt idx="17">
                  <c:v>10.1658560451519</c:v>
                </c:pt>
                <c:pt idx="18">
                  <c:v>11.0167832457647</c:v>
                </c:pt>
                <c:pt idx="19">
                  <c:v>11.4804759475734</c:v>
                </c:pt>
                <c:pt idx="20">
                  <c:v>11.5663454490857</c:v>
                </c:pt>
                <c:pt idx="21">
                  <c:v>11.4634748175542</c:v>
                </c:pt>
                <c:pt idx="22">
                  <c:v>11.5891599695783</c:v>
                </c:pt>
                <c:pt idx="23">
                  <c:v>11.3362964495174</c:v>
                </c:pt>
                <c:pt idx="24">
                  <c:v>13.2926981962385</c:v>
                </c:pt>
                <c:pt idx="25">
                  <c:v>11.1297956338227</c:v>
                </c:pt>
                <c:pt idx="26">
                  <c:v>9.25632491645491</c:v>
                </c:pt>
                <c:pt idx="27">
                  <c:v>11.5254954782008</c:v>
                </c:pt>
                <c:pt idx="28">
                  <c:v>11.3652366060244</c:v>
                </c:pt>
                <c:pt idx="29">
                  <c:v>9.9184947765498</c:v>
                </c:pt>
                <c:pt idx="30">
                  <c:v>11.3393790981993</c:v>
                </c:pt>
                <c:pt idx="31">
                  <c:v>9.16145216184367</c:v>
                </c:pt>
                <c:pt idx="32">
                  <c:v>9.25101844394314</c:v>
                </c:pt>
                <c:pt idx="33">
                  <c:v>8.61867499501478</c:v>
                </c:pt>
                <c:pt idx="34">
                  <c:v>8.47966256276337</c:v>
                </c:pt>
                <c:pt idx="35">
                  <c:v>10.2357701009995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upDownBars>
          <c:gapWidth val="150"/>
          <c:upBars/>
          <c:downBars/>
        </c:upDownBars>
        <c:marker val="1"/>
        <c:axId val="29277"/>
        <c:axId val="6231"/>
      </c:lineChart>
      <c:catAx>
        <c:axId val="292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b="1" sz="900">
                    <a:latin typeface="Arial"/>
                  </a:rPr>
                  <a:t>Années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231"/>
        <c:crosses val="autoZero"/>
        <c:auto val="1"/>
        <c:lblAlgn val="ctr"/>
        <c:lblOffset val="100"/>
      </c:catAx>
      <c:valAx>
        <c:axId val="62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b="1" sz="900">
                    <a:latin typeface="Arial"/>
                  </a:rPr>
                  <a:t>Nombre de point acheté par an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927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b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0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393120</xdr:colOff>
      <xdr:row>7</xdr:row>
      <xdr:rowOff>80280</xdr:rowOff>
    </xdr:from>
    <xdr:to>
      <xdr:col>23</xdr:col>
      <xdr:colOff>619200</xdr:colOff>
      <xdr:row>35</xdr:row>
      <xdr:rowOff>69120</xdr:rowOff>
    </xdr:to>
    <xdr:graphicFrame>
      <xdr:nvGraphicFramePr>
        <xdr:cNvPr id="0" name=""/>
        <xdr:cNvGraphicFramePr/>
      </xdr:nvGraphicFramePr>
      <xdr:xfrm>
        <a:off x="14217480" y="1217880"/>
        <a:ext cx="8354160" cy="4540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1096560</xdr:colOff>
      <xdr:row>56</xdr:row>
      <xdr:rowOff>127800</xdr:rowOff>
    </xdr:from>
    <xdr:to>
      <xdr:col>17</xdr:col>
      <xdr:colOff>118800</xdr:colOff>
      <xdr:row>79</xdr:row>
      <xdr:rowOff>126720</xdr:rowOff>
    </xdr:to>
    <xdr:graphicFrame>
      <xdr:nvGraphicFramePr>
        <xdr:cNvPr id="1" name=""/>
        <xdr:cNvGraphicFramePr/>
      </xdr:nvGraphicFramePr>
      <xdr:xfrm>
        <a:off x="9186840" y="9238680"/>
        <a:ext cx="8330040" cy="3741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587880</xdr:colOff>
      <xdr:row>2</xdr:row>
      <xdr:rowOff>82800</xdr:rowOff>
    </xdr:from>
    <xdr:to>
      <xdr:col>29</xdr:col>
      <xdr:colOff>536400</xdr:colOff>
      <xdr:row>39</xdr:row>
      <xdr:rowOff>113760</xdr:rowOff>
    </xdr:to>
    <xdr:graphicFrame>
      <xdr:nvGraphicFramePr>
        <xdr:cNvPr id="2" name=""/>
        <xdr:cNvGraphicFramePr/>
      </xdr:nvGraphicFramePr>
      <xdr:xfrm>
        <a:off x="17905320" y="415440"/>
        <a:ext cx="10514880" cy="6045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W65536"/>
  <sheetViews>
    <sheetView windowProtection="false" showFormulas="false" showGridLines="true" showRowColHeaders="true" showZeros="true" rightToLeft="false" tabSelected="false" showOutlineSymbols="true" defaultGridColor="true" view="normal" topLeftCell="C52" colorId="64" zoomScale="100" zoomScaleNormal="100" zoomScalePageLayoutView="100" workbookViewId="0">
      <selection pane="topLeft" activeCell="E2" activeCellId="0" sqref="E2"/>
    </sheetView>
  </sheetViews>
  <sheetFormatPr defaultRowHeight="12.85"/>
  <cols>
    <col collapsed="false" hidden="false" max="1" min="1" style="0" width="8.60204081632653"/>
    <col collapsed="false" hidden="false" max="2" min="2" style="0" width="33.8724489795918"/>
    <col collapsed="false" hidden="false" max="3" min="3" style="0" width="15.9642857142857"/>
    <col collapsed="false" hidden="false" max="4" min="4" style="0" width="15.3979591836735"/>
    <col collapsed="false" hidden="false" max="5" min="5" style="0" width="13.7040816326531"/>
    <col collapsed="false" hidden="false" max="6" min="6" style="0" width="11.5204081632653"/>
    <col collapsed="false" hidden="false" max="7" min="7" style="0" width="25.6938775510204"/>
    <col collapsed="false" hidden="false" max="9" min="8" style="0" width="11.5204081632653"/>
    <col collapsed="false" hidden="false" max="10" min="10" style="0" width="33.7040816326531"/>
    <col collapsed="false" hidden="false" max="11" min="11" style="0" width="22.1734693877551"/>
    <col collapsed="false" hidden="false" max="12" min="12" style="0" width="11.5204081632653"/>
    <col collapsed="false" hidden="false" max="13" min="13" style="0" width="15.265306122449"/>
    <col collapsed="false" hidden="false" max="1025" min="14" style="0" width="11.5204081632653"/>
  </cols>
  <sheetData>
    <row r="2" customFormat="false" ht="12.8" hidden="false" customHeight="false" outlineLevel="0" collapsed="false">
      <c r="E2" s="1" t="s">
        <v>0</v>
      </c>
      <c r="F2" s="1"/>
      <c r="G2" s="1"/>
    </row>
    <row r="3" customFormat="false" ht="13.4" hidden="false" customHeight="false" outlineLevel="0" collapsed="false">
      <c r="A3" s="0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Q3" s="4"/>
      <c r="R3" s="4"/>
    </row>
    <row r="4" customFormat="false" ht="12.8" hidden="false" customHeight="false" outlineLevel="0" collapsed="false">
      <c r="B4" s="5" t="n">
        <v>0</v>
      </c>
      <c r="C4" s="5" t="n">
        <v>2384.6</v>
      </c>
      <c r="D4" s="6" t="n">
        <v>5389.66</v>
      </c>
      <c r="E4" s="5" t="n">
        <v>3801.47</v>
      </c>
      <c r="F4" s="5" t="n">
        <v>3046.73</v>
      </c>
      <c r="G4" s="5" t="n">
        <v>1861.38</v>
      </c>
      <c r="H4" s="5" t="n">
        <v>1861.38</v>
      </c>
      <c r="I4" s="5" t="n">
        <v>1861.38</v>
      </c>
      <c r="J4" s="5" t="n">
        <v>3046.73</v>
      </c>
      <c r="Q4" s="4"/>
      <c r="R4" s="4"/>
    </row>
    <row r="5" customFormat="false" ht="12.8" hidden="false" customHeight="false" outlineLevel="0" collapsed="false">
      <c r="B5" s="7" t="n">
        <v>1</v>
      </c>
      <c r="C5" s="7" t="n">
        <v>2384.6</v>
      </c>
      <c r="D5" s="8" t="n">
        <v>5389.66</v>
      </c>
      <c r="E5" s="7" t="n">
        <v>3801.47</v>
      </c>
      <c r="F5" s="7" t="n">
        <v>3046.73</v>
      </c>
      <c r="G5" s="7" t="n">
        <v>1861.38</v>
      </c>
      <c r="H5" s="7" t="n">
        <v>1861.38</v>
      </c>
      <c r="I5" s="7" t="n">
        <v>1861.38</v>
      </c>
      <c r="J5" s="7" t="n">
        <v>3046.73</v>
      </c>
      <c r="Q5" s="4"/>
      <c r="R5" s="4"/>
    </row>
    <row r="6" customFormat="false" ht="12.8" hidden="false" customHeight="false" outlineLevel="0" collapsed="false">
      <c r="B6" s="5" t="n">
        <v>2</v>
      </c>
      <c r="C6" s="5" t="n">
        <v>2384.6</v>
      </c>
      <c r="D6" s="6" t="n">
        <v>5389.66</v>
      </c>
      <c r="E6" s="5" t="n">
        <v>3801.47</v>
      </c>
      <c r="F6" s="5" t="n">
        <v>3046.73</v>
      </c>
      <c r="G6" s="5" t="n">
        <v>1861.38</v>
      </c>
      <c r="H6" s="5" t="n">
        <v>1861.38</v>
      </c>
      <c r="I6" s="5" t="n">
        <v>1861.38</v>
      </c>
      <c r="J6" s="5" t="n">
        <v>3046.73</v>
      </c>
      <c r="Q6" s="4"/>
      <c r="R6" s="4"/>
    </row>
    <row r="7" customFormat="false" ht="12.8" hidden="false" customHeight="false" outlineLevel="0" collapsed="false">
      <c r="B7" s="7" t="n">
        <v>3</v>
      </c>
      <c r="C7" s="7" t="n">
        <v>2384.6</v>
      </c>
      <c r="D7" s="8" t="n">
        <v>5389.66</v>
      </c>
      <c r="E7" s="7" t="n">
        <v>3801.47</v>
      </c>
      <c r="F7" s="7" t="n">
        <v>3046.73</v>
      </c>
      <c r="G7" s="7" t="n">
        <v>1861.38</v>
      </c>
      <c r="H7" s="7" t="n">
        <v>1861.38</v>
      </c>
      <c r="I7" s="7" t="n">
        <v>1861.38</v>
      </c>
      <c r="J7" s="7" t="n">
        <v>3046.73</v>
      </c>
      <c r="Q7" s="4"/>
      <c r="R7" s="4"/>
    </row>
    <row r="8" customFormat="false" ht="12.8" hidden="false" customHeight="false" outlineLevel="0" collapsed="false">
      <c r="B8" s="5" t="n">
        <v>4</v>
      </c>
      <c r="C8" s="5" t="n">
        <v>2384.6</v>
      </c>
      <c r="D8" s="6" t="n">
        <v>5389.66</v>
      </c>
      <c r="E8" s="5" t="n">
        <v>3801.47</v>
      </c>
      <c r="F8" s="5" t="n">
        <v>3046.73</v>
      </c>
      <c r="G8" s="5" t="n">
        <v>1861.38</v>
      </c>
      <c r="H8" s="5" t="n">
        <v>1861.38</v>
      </c>
      <c r="I8" s="5" t="n">
        <v>1861.38</v>
      </c>
      <c r="J8" s="5" t="n">
        <v>3046.73</v>
      </c>
      <c r="Q8" s="4"/>
      <c r="R8" s="4"/>
    </row>
    <row r="9" customFormat="false" ht="12.8" hidden="false" customHeight="false" outlineLevel="0" collapsed="false">
      <c r="B9" s="7" t="n">
        <v>5</v>
      </c>
      <c r="C9" s="7" t="n">
        <v>2384.6</v>
      </c>
      <c r="D9" s="8" t="n">
        <v>5389.66</v>
      </c>
      <c r="E9" s="7" t="n">
        <v>3801.47</v>
      </c>
      <c r="F9" s="7" t="n">
        <v>3046.73</v>
      </c>
      <c r="G9" s="7" t="n">
        <v>1861.38</v>
      </c>
      <c r="H9" s="7" t="n">
        <v>1861.38</v>
      </c>
      <c r="I9" s="7" t="n">
        <v>1861.38</v>
      </c>
      <c r="J9" s="7" t="n">
        <v>3046.73</v>
      </c>
      <c r="Q9" s="4"/>
      <c r="R9" s="4"/>
    </row>
    <row r="10" customFormat="false" ht="12.8" hidden="false" customHeight="false" outlineLevel="0" collapsed="false">
      <c r="B10" s="5" t="n">
        <v>6</v>
      </c>
      <c r="C10" s="5" t="n">
        <v>2384.6</v>
      </c>
      <c r="D10" s="6" t="n">
        <v>5389.66</v>
      </c>
      <c r="E10" s="5" t="n">
        <v>3801.47</v>
      </c>
      <c r="F10" s="5" t="n">
        <v>3046.73</v>
      </c>
      <c r="G10" s="5" t="n">
        <v>1861.38</v>
      </c>
      <c r="H10" s="5" t="n">
        <v>1861.38</v>
      </c>
      <c r="I10" s="5" t="n">
        <v>1861.38</v>
      </c>
      <c r="J10" s="5" t="n">
        <v>3046.73</v>
      </c>
      <c r="Q10" s="4"/>
      <c r="R10" s="4"/>
    </row>
    <row r="11" customFormat="false" ht="12.8" hidden="false" customHeight="false" outlineLevel="0" collapsed="false">
      <c r="B11" s="7" t="n">
        <v>7</v>
      </c>
      <c r="C11" s="7" t="n">
        <v>2384.6</v>
      </c>
      <c r="D11" s="8" t="n">
        <v>5389.66</v>
      </c>
      <c r="E11" s="7" t="n">
        <v>3801.47</v>
      </c>
      <c r="F11" s="7" t="n">
        <v>3046.73</v>
      </c>
      <c r="G11" s="7" t="n">
        <v>1861.38</v>
      </c>
      <c r="H11" s="7" t="n">
        <v>1861.38</v>
      </c>
      <c r="I11" s="7" t="n">
        <v>1861.38</v>
      </c>
      <c r="J11" s="7" t="n">
        <v>3046.73</v>
      </c>
      <c r="Q11" s="4"/>
      <c r="R11" s="4"/>
    </row>
    <row r="12" customFormat="false" ht="12.8" hidden="false" customHeight="false" outlineLevel="0" collapsed="false">
      <c r="B12" s="5" t="n">
        <v>8</v>
      </c>
      <c r="C12" s="5" t="n">
        <v>2384.6</v>
      </c>
      <c r="D12" s="6" t="n">
        <v>5389.66</v>
      </c>
      <c r="E12" s="5" t="n">
        <v>3801.47</v>
      </c>
      <c r="F12" s="5" t="n">
        <v>3046.73</v>
      </c>
      <c r="G12" s="5" t="n">
        <v>1861.38</v>
      </c>
      <c r="H12" s="5" t="n">
        <v>1861.38</v>
      </c>
      <c r="I12" s="5" t="n">
        <v>1861.38</v>
      </c>
      <c r="J12" s="5" t="n">
        <v>3046.73</v>
      </c>
      <c r="Q12" s="4"/>
      <c r="R12" s="4"/>
    </row>
    <row r="13" customFormat="false" ht="12.8" hidden="false" customHeight="false" outlineLevel="0" collapsed="false">
      <c r="B13" s="7" t="n">
        <v>9</v>
      </c>
      <c r="C13" s="7" t="n">
        <v>2384.6</v>
      </c>
      <c r="D13" s="8" t="n">
        <v>5389.66</v>
      </c>
      <c r="E13" s="7" t="n">
        <v>3801.47</v>
      </c>
      <c r="F13" s="7" t="n">
        <v>3046.73</v>
      </c>
      <c r="G13" s="7" t="n">
        <v>1861.38</v>
      </c>
      <c r="H13" s="7" t="n">
        <v>1861.38</v>
      </c>
      <c r="I13" s="7" t="n">
        <v>1861.38</v>
      </c>
      <c r="J13" s="7" t="n">
        <v>3046.73</v>
      </c>
      <c r="Q13" s="4"/>
      <c r="R13" s="4"/>
    </row>
    <row r="14" customFormat="false" ht="12.8" hidden="false" customHeight="false" outlineLevel="0" collapsed="false">
      <c r="B14" s="5" t="n">
        <v>10</v>
      </c>
      <c r="C14" s="5" t="n">
        <v>2384.6</v>
      </c>
      <c r="D14" s="6" t="n">
        <v>5389.66</v>
      </c>
      <c r="E14" s="5" t="n">
        <v>3801.47</v>
      </c>
      <c r="F14" s="5" t="n">
        <v>3046.73</v>
      </c>
      <c r="G14" s="5" t="n">
        <v>1861.38</v>
      </c>
      <c r="H14" s="5" t="n">
        <v>1861.38</v>
      </c>
      <c r="I14" s="5" t="n">
        <v>1819.7</v>
      </c>
      <c r="J14" s="5" t="n">
        <v>2833.74</v>
      </c>
      <c r="Q14" s="4"/>
      <c r="R14" s="4"/>
    </row>
    <row r="15" customFormat="false" ht="12.8" hidden="false" customHeight="false" outlineLevel="0" collapsed="false">
      <c r="B15" s="7" t="n">
        <v>11</v>
      </c>
      <c r="C15" s="7" t="n">
        <v>2273.47</v>
      </c>
      <c r="D15" s="8" t="n">
        <v>5273.9</v>
      </c>
      <c r="E15" s="7" t="n">
        <v>3801.47</v>
      </c>
      <c r="F15" s="7" t="n">
        <v>3046.73</v>
      </c>
      <c r="G15" s="7" t="n">
        <v>1861.38</v>
      </c>
      <c r="H15" s="7" t="n">
        <v>1861.38</v>
      </c>
      <c r="I15" s="7" t="n">
        <v>1819.7</v>
      </c>
      <c r="J15" s="7" t="n">
        <v>2833.74</v>
      </c>
      <c r="Q15" s="4"/>
      <c r="R15" s="4"/>
      <c r="W15" s="4"/>
    </row>
    <row r="16" customFormat="false" ht="12.8" hidden="false" customHeight="false" outlineLevel="0" collapsed="false">
      <c r="B16" s="5" t="n">
        <v>12</v>
      </c>
      <c r="C16" s="5" t="n">
        <v>2273.47</v>
      </c>
      <c r="D16" s="6" t="n">
        <v>5273.9</v>
      </c>
      <c r="E16" s="5" t="n">
        <v>3801.47</v>
      </c>
      <c r="F16" s="5" t="n">
        <v>3046.73</v>
      </c>
      <c r="G16" s="5" t="n">
        <v>1861.38</v>
      </c>
      <c r="H16" s="5" t="n">
        <v>1861.38</v>
      </c>
      <c r="I16" s="5" t="n">
        <v>1819.7</v>
      </c>
      <c r="J16" s="5" t="n">
        <v>2833.74</v>
      </c>
      <c r="Q16" s="4"/>
      <c r="R16" s="4"/>
      <c r="W16" s="4"/>
    </row>
    <row r="17" customFormat="false" ht="12.8" hidden="false" customHeight="false" outlineLevel="0" collapsed="false">
      <c r="B17" s="7" t="n">
        <v>13</v>
      </c>
      <c r="C17" s="7" t="n">
        <v>2273.47</v>
      </c>
      <c r="D17" s="8" t="n">
        <v>5273.9</v>
      </c>
      <c r="E17" s="7" t="n">
        <v>3801.47</v>
      </c>
      <c r="F17" s="7" t="n">
        <v>3046.73</v>
      </c>
      <c r="G17" s="7" t="n">
        <v>1861.38</v>
      </c>
      <c r="H17" s="7" t="n">
        <v>1861.38</v>
      </c>
      <c r="I17" s="7" t="n">
        <v>1819.7</v>
      </c>
      <c r="J17" s="7" t="n">
        <v>2833.74</v>
      </c>
      <c r="Q17" s="4"/>
      <c r="R17" s="4"/>
      <c r="W17" s="4"/>
    </row>
    <row r="18" customFormat="false" ht="12.8" hidden="false" customHeight="false" outlineLevel="0" collapsed="false">
      <c r="B18" s="5" t="n">
        <v>14</v>
      </c>
      <c r="C18" s="5" t="n">
        <v>2273.47</v>
      </c>
      <c r="D18" s="6" t="n">
        <v>5028.5</v>
      </c>
      <c r="E18" s="5" t="n">
        <v>3801.47</v>
      </c>
      <c r="F18" s="5" t="n">
        <v>3046.73</v>
      </c>
      <c r="G18" s="5" t="n">
        <v>1861.38</v>
      </c>
      <c r="H18" s="5" t="n">
        <v>1861.38</v>
      </c>
      <c r="I18" s="5" t="n">
        <v>1759.51</v>
      </c>
      <c r="J18" s="5" t="n">
        <v>2833.74</v>
      </c>
      <c r="Q18" s="4"/>
      <c r="R18" s="4"/>
      <c r="W18" s="4"/>
    </row>
    <row r="19" customFormat="false" ht="12.8" hidden="false" customHeight="false" outlineLevel="0" collapsed="false">
      <c r="B19" s="7" t="n">
        <v>15</v>
      </c>
      <c r="C19" s="7" t="n">
        <v>2166.98</v>
      </c>
      <c r="D19" s="8" t="n">
        <v>5028.5</v>
      </c>
      <c r="E19" s="7" t="n">
        <v>3801.47</v>
      </c>
      <c r="F19" s="7" t="n">
        <v>3046.73</v>
      </c>
      <c r="G19" s="7" t="n">
        <v>1861.38</v>
      </c>
      <c r="H19" s="7" t="n">
        <v>1861.38</v>
      </c>
      <c r="I19" s="7" t="n">
        <v>1759.51</v>
      </c>
      <c r="J19" s="7" t="n">
        <v>2625.38</v>
      </c>
      <c r="W19" s="4"/>
    </row>
    <row r="20" customFormat="false" ht="12.8" hidden="false" customHeight="false" outlineLevel="0" collapsed="false">
      <c r="B20" s="5" t="n">
        <v>16</v>
      </c>
      <c r="C20" s="5" t="n">
        <v>2166.98</v>
      </c>
      <c r="D20" s="6" t="n">
        <v>4648.81</v>
      </c>
      <c r="E20" s="5" t="n">
        <v>3625.52</v>
      </c>
      <c r="F20" s="5" t="n">
        <v>2833.74</v>
      </c>
      <c r="G20" s="5" t="n">
        <v>1819.7</v>
      </c>
      <c r="H20" s="5" t="n">
        <v>1819.7</v>
      </c>
      <c r="I20" s="5" t="n">
        <v>1759.51</v>
      </c>
      <c r="J20" s="5" t="n">
        <v>2625.38</v>
      </c>
      <c r="W20" s="4"/>
    </row>
    <row r="21" customFormat="false" ht="12.8" hidden="false" customHeight="false" outlineLevel="0" collapsed="false">
      <c r="B21" s="7" t="n">
        <v>17</v>
      </c>
      <c r="C21" s="7" t="n">
        <v>2166.98</v>
      </c>
      <c r="D21" s="8" t="n">
        <v>4648.81</v>
      </c>
      <c r="E21" s="7" t="n">
        <v>3625.52</v>
      </c>
      <c r="F21" s="7" t="n">
        <v>2833.74</v>
      </c>
      <c r="G21" s="7" t="n">
        <v>1819.7</v>
      </c>
      <c r="H21" s="7" t="n">
        <v>1819.7</v>
      </c>
      <c r="I21" s="7" t="n">
        <v>1759.51</v>
      </c>
      <c r="J21" s="7" t="n">
        <v>2625.38</v>
      </c>
      <c r="W21" s="4"/>
    </row>
    <row r="22" customFormat="false" ht="12.8" hidden="false" customHeight="false" outlineLevel="0" collapsed="false">
      <c r="B22" s="5" t="n">
        <v>18</v>
      </c>
      <c r="C22" s="5" t="n">
        <v>2166.98</v>
      </c>
      <c r="D22" s="6" t="n">
        <v>4898.85</v>
      </c>
      <c r="E22" s="5" t="n">
        <v>3625.52</v>
      </c>
      <c r="F22" s="5" t="n">
        <v>2833.74</v>
      </c>
      <c r="G22" s="5" t="n">
        <v>1819.7</v>
      </c>
      <c r="H22" s="5" t="n">
        <v>1819.7</v>
      </c>
      <c r="I22" s="5" t="n">
        <v>1717.84</v>
      </c>
      <c r="J22" s="5" t="n">
        <v>2625.38</v>
      </c>
      <c r="W22" s="4"/>
    </row>
    <row r="23" customFormat="false" ht="12.8" hidden="false" customHeight="false" outlineLevel="0" collapsed="false">
      <c r="B23" s="7" t="n">
        <v>19</v>
      </c>
      <c r="C23" s="7" t="n">
        <v>2060.48</v>
      </c>
      <c r="D23" s="8" t="n">
        <v>4898.85</v>
      </c>
      <c r="E23" s="7" t="n">
        <v>3625.52</v>
      </c>
      <c r="F23" s="7" t="n">
        <v>2833.74</v>
      </c>
      <c r="G23" s="7" t="n">
        <v>1819.7</v>
      </c>
      <c r="H23" s="7" t="n">
        <v>1819.7</v>
      </c>
      <c r="I23" s="7" t="n">
        <v>1717.84</v>
      </c>
      <c r="J23" s="7" t="n">
        <v>2458.68</v>
      </c>
      <c r="W23" s="4"/>
    </row>
    <row r="24" customFormat="false" ht="12.8" hidden="false" customHeight="false" outlineLevel="0" collapsed="false">
      <c r="B24" s="5" t="n">
        <v>20</v>
      </c>
      <c r="C24" s="5" t="n">
        <v>2060.48</v>
      </c>
      <c r="D24" s="6" t="n">
        <v>4898.85</v>
      </c>
      <c r="E24" s="5" t="n">
        <v>3625.52</v>
      </c>
      <c r="F24" s="5" t="n">
        <v>2833.74</v>
      </c>
      <c r="G24" s="5" t="n">
        <v>1759.51</v>
      </c>
      <c r="H24" s="5" t="n">
        <v>1759.51</v>
      </c>
      <c r="I24" s="5" t="n">
        <v>1717.84</v>
      </c>
      <c r="J24" s="5" t="n">
        <v>2458.68</v>
      </c>
      <c r="W24" s="4"/>
    </row>
    <row r="25" customFormat="false" ht="12.8" hidden="false" customHeight="false" outlineLevel="0" collapsed="false">
      <c r="B25" s="7" t="n">
        <v>21</v>
      </c>
      <c r="C25" s="7" t="n">
        <v>2060.48</v>
      </c>
      <c r="D25" s="8" t="n">
        <v>4648.81</v>
      </c>
      <c r="E25" s="7" t="n">
        <v>3398.63</v>
      </c>
      <c r="F25" s="7" t="n">
        <v>2625.38</v>
      </c>
      <c r="G25" s="7" t="n">
        <v>1759.51</v>
      </c>
      <c r="H25" s="7" t="n">
        <v>1759.51</v>
      </c>
      <c r="I25" s="7" t="n">
        <v>1643.75</v>
      </c>
      <c r="J25" s="7" t="n">
        <v>2458.68</v>
      </c>
      <c r="W25" s="4"/>
    </row>
    <row r="26" customFormat="false" ht="12.8" hidden="false" customHeight="false" outlineLevel="0" collapsed="false">
      <c r="B26" s="5" t="n">
        <v>22</v>
      </c>
      <c r="C26" s="5" t="n">
        <v>2060.48</v>
      </c>
      <c r="D26" s="6" t="n">
        <v>4648.81</v>
      </c>
      <c r="E26" s="5" t="n">
        <v>3398.63</v>
      </c>
      <c r="F26" s="5" t="n">
        <v>2625.38</v>
      </c>
      <c r="G26" s="5" t="n">
        <v>1759.51</v>
      </c>
      <c r="H26" s="5" t="n">
        <v>1759.51</v>
      </c>
      <c r="I26" s="5" t="n">
        <v>1643.75</v>
      </c>
      <c r="J26" s="5" t="n">
        <v>2458.68</v>
      </c>
      <c r="W26" s="4"/>
    </row>
    <row r="27" customFormat="false" ht="12.8" hidden="false" customHeight="false" outlineLevel="0" collapsed="false">
      <c r="B27" s="7" t="n">
        <v>23</v>
      </c>
      <c r="C27" s="7" t="n">
        <v>1967.87</v>
      </c>
      <c r="D27" s="8" t="n">
        <v>4648.81</v>
      </c>
      <c r="E27" s="7" t="n">
        <v>3398.63</v>
      </c>
      <c r="F27" s="7" t="n">
        <v>2625.38</v>
      </c>
      <c r="G27" s="7" t="n">
        <v>1759.51</v>
      </c>
      <c r="H27" s="7" t="n">
        <v>1759.51</v>
      </c>
      <c r="I27" s="7" t="n">
        <v>1643.75</v>
      </c>
      <c r="J27" s="7" t="n">
        <v>2291.99</v>
      </c>
      <c r="W27" s="4"/>
    </row>
    <row r="28" customFormat="false" ht="12.8" hidden="false" customHeight="false" outlineLevel="0" collapsed="false">
      <c r="B28" s="5" t="n">
        <v>24</v>
      </c>
      <c r="C28" s="5" t="n">
        <v>1967.87</v>
      </c>
      <c r="D28" s="6" t="n">
        <v>4458.97</v>
      </c>
      <c r="E28" s="5" t="n">
        <v>3398.63</v>
      </c>
      <c r="F28" s="5" t="n">
        <v>2625.38</v>
      </c>
      <c r="G28" s="5" t="n">
        <v>1717.84</v>
      </c>
      <c r="H28" s="5" t="n">
        <v>1717.84</v>
      </c>
      <c r="I28" s="5" t="n">
        <v>1578.93</v>
      </c>
      <c r="J28" s="5" t="n">
        <v>2291.99</v>
      </c>
      <c r="W28" s="4"/>
    </row>
    <row r="29" customFormat="false" ht="12.8" hidden="false" customHeight="false" outlineLevel="0" collapsed="false">
      <c r="B29" s="7" t="n">
        <v>25</v>
      </c>
      <c r="C29" s="7" t="n">
        <v>1967.87</v>
      </c>
      <c r="D29" s="8" t="n">
        <v>4458.97</v>
      </c>
      <c r="E29" s="7" t="n">
        <v>3167.12</v>
      </c>
      <c r="F29" s="7" t="n">
        <v>2458.68</v>
      </c>
      <c r="G29" s="7" t="n">
        <v>1717.84</v>
      </c>
      <c r="H29" s="7" t="n">
        <v>1717.84</v>
      </c>
      <c r="I29" s="7" t="n">
        <v>1578.93</v>
      </c>
      <c r="J29" s="7" t="n">
        <v>2291.99</v>
      </c>
      <c r="W29" s="4"/>
    </row>
    <row r="30" customFormat="false" ht="12.8" hidden="false" customHeight="false" outlineLevel="0" collapsed="false">
      <c r="B30" s="5" t="n">
        <v>26</v>
      </c>
      <c r="C30" s="5" t="n">
        <v>1875.27</v>
      </c>
      <c r="D30" s="6" t="n">
        <v>4458.97</v>
      </c>
      <c r="E30" s="5" t="n">
        <v>3167.12</v>
      </c>
      <c r="F30" s="5" t="n">
        <v>2458.68</v>
      </c>
      <c r="G30" s="5" t="n">
        <v>1717.84</v>
      </c>
      <c r="H30" s="5" t="n">
        <v>1717.84</v>
      </c>
      <c r="I30" s="5" t="n">
        <v>1546.52</v>
      </c>
      <c r="J30" s="5" t="n">
        <v>2162.35</v>
      </c>
    </row>
    <row r="31" customFormat="false" ht="12.8" hidden="false" customHeight="false" outlineLevel="0" collapsed="false">
      <c r="B31" s="7" t="n">
        <v>27</v>
      </c>
      <c r="C31" s="7" t="n">
        <v>1875.27</v>
      </c>
      <c r="D31" s="8" t="n">
        <v>4458.97</v>
      </c>
      <c r="E31" s="7" t="n">
        <v>3167.12</v>
      </c>
      <c r="F31" s="7" t="n">
        <v>2458.68</v>
      </c>
      <c r="G31" s="7" t="n">
        <v>1643.75</v>
      </c>
      <c r="H31" s="7" t="n">
        <v>1643.75</v>
      </c>
      <c r="I31" s="7" t="n">
        <v>1546.52</v>
      </c>
      <c r="J31" s="7" t="n">
        <v>2162.35</v>
      </c>
    </row>
    <row r="32" customFormat="false" ht="12.8" hidden="false" customHeight="false" outlineLevel="0" collapsed="false">
      <c r="B32" s="5" t="n">
        <v>28</v>
      </c>
      <c r="C32" s="5" t="n">
        <v>1875.27</v>
      </c>
      <c r="D32" s="6" t="n">
        <v>4458.97</v>
      </c>
      <c r="E32" s="5" t="n">
        <v>3167.12</v>
      </c>
      <c r="F32" s="5" t="n">
        <v>2458.68</v>
      </c>
      <c r="G32" s="5" t="n">
        <v>1643.75</v>
      </c>
      <c r="H32" s="5" t="n">
        <v>1643.75</v>
      </c>
      <c r="I32" s="5" t="n">
        <v>1514.11</v>
      </c>
      <c r="J32" s="5" t="n">
        <v>2162.35</v>
      </c>
    </row>
    <row r="33" customFormat="false" ht="12.8" hidden="false" customHeight="false" outlineLevel="0" collapsed="false">
      <c r="B33" s="7" t="n">
        <v>29</v>
      </c>
      <c r="C33" s="7" t="n">
        <v>1805.81</v>
      </c>
      <c r="D33" s="8" t="n">
        <v>4458.97</v>
      </c>
      <c r="E33" s="7" t="n">
        <v>2940.24</v>
      </c>
      <c r="F33" s="7" t="n">
        <v>2291.99</v>
      </c>
      <c r="G33" s="7" t="n">
        <v>1643.75</v>
      </c>
      <c r="H33" s="7" t="n">
        <v>1643.75</v>
      </c>
      <c r="I33" s="7" t="n">
        <v>1514.11</v>
      </c>
      <c r="J33" s="7" t="n">
        <v>2120.67</v>
      </c>
    </row>
    <row r="34" customFormat="false" ht="12.8" hidden="false" customHeight="false" outlineLevel="0" collapsed="false">
      <c r="B34" s="5" t="n">
        <v>30</v>
      </c>
      <c r="C34" s="5" t="n">
        <v>1805.81</v>
      </c>
      <c r="D34" s="6" t="n">
        <v>4241.35</v>
      </c>
      <c r="E34" s="5" t="n">
        <v>2940.24</v>
      </c>
      <c r="F34" s="5" t="n">
        <v>2291.99</v>
      </c>
      <c r="G34" s="5" t="n">
        <v>1578.93</v>
      </c>
      <c r="H34" s="5" t="n">
        <v>1578.93</v>
      </c>
      <c r="I34" s="5" t="n">
        <v>1504.84</v>
      </c>
      <c r="J34" s="5" t="n">
        <v>2120.67</v>
      </c>
    </row>
    <row r="35" customFormat="false" ht="12.8" hidden="false" customHeight="false" outlineLevel="0" collapsed="false">
      <c r="B35" s="7" t="n">
        <v>31</v>
      </c>
      <c r="C35" s="7" t="n">
        <v>1736.36</v>
      </c>
      <c r="D35" s="8" t="n">
        <v>4241.35</v>
      </c>
      <c r="E35" s="7" t="n">
        <v>2940.24</v>
      </c>
      <c r="F35" s="7" t="n">
        <v>2291.99</v>
      </c>
      <c r="G35" s="7" t="n">
        <v>1578.93</v>
      </c>
      <c r="H35" s="7" t="n">
        <v>1578.93</v>
      </c>
      <c r="I35" s="7" t="n">
        <v>1504.84</v>
      </c>
      <c r="J35" s="7" t="n">
        <v>2120.67</v>
      </c>
    </row>
    <row r="36" customFormat="false" ht="12.8" hidden="false" customHeight="false" outlineLevel="0" collapsed="false">
      <c r="B36" s="5" t="n">
        <v>32</v>
      </c>
      <c r="C36" s="5" t="n">
        <v>1736.36</v>
      </c>
      <c r="D36" s="6" t="n">
        <v>4241.35</v>
      </c>
      <c r="E36" s="5" t="n">
        <v>2745.76</v>
      </c>
      <c r="F36" s="5" t="n">
        <v>2162.35</v>
      </c>
      <c r="G36" s="5" t="n">
        <v>1546.52</v>
      </c>
      <c r="H36" s="5" t="n">
        <v>1546.52</v>
      </c>
      <c r="I36" s="5" t="n">
        <v>1495.58</v>
      </c>
      <c r="J36" s="5" t="n">
        <v>2060.48</v>
      </c>
    </row>
    <row r="37" customFormat="false" ht="12.8" hidden="false" customHeight="false" outlineLevel="0" collapsed="false">
      <c r="B37" s="7" t="n">
        <v>33</v>
      </c>
      <c r="C37" s="7" t="n">
        <v>1671.54</v>
      </c>
      <c r="D37" s="8" t="n">
        <v>3801.47</v>
      </c>
      <c r="E37" s="7" t="n">
        <v>2745.76</v>
      </c>
      <c r="F37" s="7" t="n">
        <v>2162.35</v>
      </c>
      <c r="G37" s="7" t="n">
        <v>1546.52</v>
      </c>
      <c r="H37" s="7" t="n">
        <v>1546.52</v>
      </c>
      <c r="I37" s="7" t="n">
        <v>1495.58</v>
      </c>
      <c r="J37" s="7" t="n">
        <v>2060.48</v>
      </c>
    </row>
    <row r="38" customFormat="false" ht="12.8" hidden="false" customHeight="false" outlineLevel="0" collapsed="false">
      <c r="B38" s="5" t="n">
        <v>34</v>
      </c>
      <c r="C38" s="5" t="n">
        <v>1671.54</v>
      </c>
      <c r="D38" s="6" t="n">
        <v>3801.47</v>
      </c>
      <c r="E38" s="5" t="n">
        <v>2745.76</v>
      </c>
      <c r="F38" s="5" t="n">
        <v>2162.35</v>
      </c>
      <c r="G38" s="5" t="n">
        <v>1514.11</v>
      </c>
      <c r="H38" s="5" t="n">
        <v>1514.11</v>
      </c>
      <c r="I38" s="5" t="n">
        <v>1490.95</v>
      </c>
      <c r="J38" s="5" t="n">
        <v>2000.29</v>
      </c>
    </row>
    <row r="39" customFormat="false" ht="12.8" hidden="false" customHeight="false" outlineLevel="0" collapsed="false">
      <c r="B39" s="7" t="n">
        <v>35</v>
      </c>
      <c r="C39" s="7" t="n">
        <v>1611.34</v>
      </c>
      <c r="D39" s="8" t="n">
        <v>3801.47</v>
      </c>
      <c r="E39" s="7" t="n">
        <v>2597.59</v>
      </c>
      <c r="F39" s="7" t="n">
        <v>2120.67</v>
      </c>
      <c r="G39" s="7" t="n">
        <v>1514.11</v>
      </c>
      <c r="H39" s="7" t="n">
        <v>1514.11</v>
      </c>
      <c r="I39" s="7" t="n">
        <v>1486.32</v>
      </c>
      <c r="J39" s="7" t="n">
        <v>1709.735</v>
      </c>
    </row>
    <row r="40" customFormat="false" ht="12.8" hidden="false" customHeight="false" outlineLevel="0" collapsed="false">
      <c r="B40" s="5" t="n">
        <v>36</v>
      </c>
      <c r="C40" s="5" t="n">
        <v>1611.34</v>
      </c>
      <c r="D40" s="6" t="n">
        <v>3625.52</v>
      </c>
      <c r="E40" s="5" t="n">
        <v>2597.59</v>
      </c>
      <c r="F40" s="5" t="n">
        <v>2120.67</v>
      </c>
      <c r="G40" s="5" t="n">
        <v>1504.84</v>
      </c>
      <c r="H40" s="5" t="n">
        <v>1504.84</v>
      </c>
      <c r="I40" s="5"/>
      <c r="J40" s="5"/>
    </row>
    <row r="41" customFormat="false" ht="12.8" hidden="false" customHeight="false" outlineLevel="0" collapsed="false">
      <c r="B41" s="7" t="n">
        <v>37</v>
      </c>
      <c r="C41" s="7" t="n">
        <v>1574.3</v>
      </c>
      <c r="D41" s="8" t="n">
        <v>3625.52</v>
      </c>
      <c r="E41" s="7" t="n">
        <v>2597.59</v>
      </c>
      <c r="F41" s="7" t="n">
        <v>2120.67</v>
      </c>
      <c r="G41" s="7" t="n">
        <v>1504.84</v>
      </c>
      <c r="H41" s="7" t="n">
        <v>1504.84</v>
      </c>
      <c r="I41" s="7"/>
      <c r="J41" s="7"/>
    </row>
    <row r="42" customFormat="false" ht="12.8" hidden="false" customHeight="false" outlineLevel="0" collapsed="false">
      <c r="B42" s="5" t="n">
        <v>38</v>
      </c>
      <c r="C42" s="5" t="n">
        <v>1574.3</v>
      </c>
      <c r="D42" s="6" t="n">
        <v>3398.63</v>
      </c>
      <c r="E42" s="5" t="n">
        <v>2435.53</v>
      </c>
      <c r="F42" s="5" t="n">
        <v>2060.48</v>
      </c>
      <c r="G42" s="5" t="n">
        <v>1495.58</v>
      </c>
      <c r="H42" s="5" t="n">
        <v>1495.58</v>
      </c>
      <c r="I42" s="5"/>
      <c r="J42" s="5"/>
    </row>
    <row r="43" customFormat="false" ht="12.8" hidden="false" customHeight="false" outlineLevel="0" collapsed="false">
      <c r="B43" s="7" t="n">
        <v>39</v>
      </c>
      <c r="C43" s="7" t="n">
        <v>1537.26</v>
      </c>
      <c r="D43" s="8" t="n">
        <v>3398.63</v>
      </c>
      <c r="E43" s="7" t="n">
        <v>2435.53</v>
      </c>
      <c r="F43" s="7" t="n">
        <v>2060.48</v>
      </c>
      <c r="G43" s="7" t="n">
        <v>1495.58</v>
      </c>
      <c r="H43" s="7" t="n">
        <v>1495.58</v>
      </c>
      <c r="I43" s="7"/>
      <c r="J43" s="7"/>
    </row>
    <row r="44" customFormat="false" ht="12.8" hidden="false" customHeight="false" outlineLevel="0" collapsed="false">
      <c r="B44" s="5" t="n">
        <v>40</v>
      </c>
      <c r="C44" s="5" t="n">
        <v>1537.26</v>
      </c>
      <c r="D44" s="6" t="n">
        <v>3222.68</v>
      </c>
      <c r="E44" s="5" t="n">
        <v>2264.21</v>
      </c>
      <c r="F44" s="5" t="n">
        <v>2000.29</v>
      </c>
      <c r="G44" s="5" t="n">
        <v>1490.95</v>
      </c>
      <c r="H44" s="5" t="n">
        <v>1490.95</v>
      </c>
      <c r="I44" s="5"/>
      <c r="J44" s="5"/>
    </row>
    <row r="45" customFormat="false" ht="12.8" hidden="false" customHeight="false" outlineLevel="0" collapsed="false">
      <c r="B45" s="7" t="n">
        <v>41</v>
      </c>
      <c r="C45" s="7" t="n">
        <v>1514.11</v>
      </c>
      <c r="D45" s="8" t="n">
        <v>3222.68</v>
      </c>
      <c r="E45" s="7" t="n">
        <v>1952.8275</v>
      </c>
      <c r="F45" s="7" t="n">
        <v>1709.735</v>
      </c>
      <c r="G45" s="7" t="n">
        <v>1486.32</v>
      </c>
      <c r="H45" s="7" t="n">
        <v>1486.32</v>
      </c>
      <c r="I45" s="7"/>
      <c r="J45" s="7"/>
    </row>
    <row r="46" customFormat="false" ht="12.8" hidden="false" customHeight="false" outlineLevel="0" collapsed="false">
      <c r="B46" s="5" t="n">
        <v>42</v>
      </c>
      <c r="C46" s="5"/>
      <c r="D46" s="6" t="n">
        <v>3046.73</v>
      </c>
      <c r="E46" s="5"/>
      <c r="F46" s="5"/>
      <c r="G46" s="5"/>
      <c r="H46" s="5"/>
      <c r="I46" s="5"/>
      <c r="J46" s="5"/>
    </row>
    <row r="47" customFormat="false" ht="12.8" hidden="false" customHeight="false" outlineLevel="0" collapsed="false">
      <c r="B47" s="9" t="s">
        <v>11</v>
      </c>
      <c r="C47" s="9"/>
      <c r="D47" s="9"/>
      <c r="E47" s="9"/>
      <c r="F47" s="9"/>
      <c r="G47" s="9"/>
      <c r="H47" s="9"/>
      <c r="I47" s="9"/>
      <c r="J47" s="9"/>
    </row>
    <row r="48" customFormat="false" ht="12.8" hidden="false" customHeight="false" outlineLevel="0" collapsed="false">
      <c r="B48" s="2" t="s">
        <v>12</v>
      </c>
      <c r="C48" s="3" t="n">
        <f aca="false">'plafond sécu et CNAV'!J46*(1-0.074)</f>
        <v>1163.04495245328</v>
      </c>
      <c r="D48" s="3" t="n">
        <f aca="false">'plafond sécu et CNAV'!K46*(1-0.074)</f>
        <v>1328.54362741677</v>
      </c>
      <c r="E48" s="3" t="n">
        <f aca="false">'plafond sécu et CNAV'!L46*(1-0.074)</f>
        <v>1328.54362741677</v>
      </c>
      <c r="F48" s="3" t="n">
        <f aca="false">'plafond sécu et CNAV'!M46*(1-0.074)</f>
        <v>1326.17023319931</v>
      </c>
      <c r="G48" s="3" t="n">
        <f aca="false">'plafond sécu et CNAV'!N46*(1-0.074)</f>
        <v>949.874270345757</v>
      </c>
      <c r="H48" s="3" t="n">
        <f aca="false">'plafond sécu et CNAV'!O46*(1-0.074)</f>
        <v>949.874270345757</v>
      </c>
      <c r="I48" s="3" t="n">
        <f aca="false">'plafond sécu et CNAV'!P46*(1-0.074)</f>
        <v>923.854991365257</v>
      </c>
      <c r="J48" s="3" t="n">
        <f aca="false">'plafond sécu et CNAV'!Q46*(1-0.074)</f>
        <v>1326.17023319931</v>
      </c>
    </row>
    <row r="49" customFormat="false" ht="12.8" hidden="false" customHeight="false" outlineLevel="0" collapsed="false">
      <c r="B49" s="7" t="s">
        <v>13</v>
      </c>
      <c r="C49" s="3" t="n">
        <f aca="false">'calculs agirc'!I47*(1-0.084)+ARRCO!H99*(1-0.084)</f>
        <v>421.836541824661</v>
      </c>
      <c r="D49" s="3" t="n">
        <f aca="false">'calculs agirc'!J47*(1-0.084)+ARRCO!I99*(1-0.084)</f>
        <v>2080.89308134039</v>
      </c>
      <c r="E49" s="3" t="n">
        <f aca="false">'calculs agirc'!K47*(1-0.084)+ARRCO!J99*(1-0.084)</f>
        <v>1169.34979976684</v>
      </c>
      <c r="F49" s="3" t="n">
        <f aca="false">'calculs agirc'!L47*(1-0.084)+ARRCO!K99*(1-0.084)</f>
        <v>730.391535279616</v>
      </c>
      <c r="G49" s="3" t="n">
        <f aca="false">'calculs agirc'!M47*(1-0.084)+ARRCO!L99*(1-0.084)</f>
        <v>367.751469912787</v>
      </c>
      <c r="H49" s="3" t="n">
        <f aca="false">'calculs agirc'!N47*(1-0.084)+ARRCO!M99*(1-0.084)</f>
        <v>367.751469912787</v>
      </c>
      <c r="I49" s="3" t="n">
        <f aca="false">'calculs agirc'!O47*(1-0.084)+ARRCO!N99*(1-0.084)</f>
        <v>281.56120153341</v>
      </c>
      <c r="J49" s="3" t="n">
        <f aca="false">'calculs agirc'!P47*(1-0.084)+ARRCO!O99*(1-0.084)</f>
        <v>497.812534245632</v>
      </c>
    </row>
    <row r="50" customFormat="false" ht="12.8" hidden="false" customHeight="false" outlineLevel="0" collapsed="false">
      <c r="B50" s="10" t="s">
        <v>14</v>
      </c>
      <c r="C50" s="11" t="n">
        <f aca="false">C48+C49</f>
        <v>1584.88149427794</v>
      </c>
      <c r="D50" s="11" t="n">
        <f aca="false">D48+D49</f>
        <v>3409.43670875717</v>
      </c>
      <c r="E50" s="11" t="n">
        <f aca="false">E48+E49</f>
        <v>2497.89342718361</v>
      </c>
      <c r="F50" s="11" t="n">
        <f aca="false">F48+F49</f>
        <v>2056.56176847893</v>
      </c>
      <c r="G50" s="11" t="n">
        <f aca="false">G48+G49</f>
        <v>1317.62574025854</v>
      </c>
      <c r="H50" s="11" t="n">
        <f aca="false">H48+H49</f>
        <v>1317.62574025854</v>
      </c>
      <c r="I50" s="11" t="n">
        <f aca="false">I48+I49</f>
        <v>1205.41619289867</v>
      </c>
      <c r="J50" s="11" t="n">
        <f aca="false">J48+J49</f>
        <v>1823.98276744494</v>
      </c>
    </row>
    <row r="51" customFormat="false" ht="12.8" hidden="false" customHeight="false" outlineLevel="0" collapsed="false">
      <c r="B51" s="12" t="s">
        <v>15</v>
      </c>
      <c r="C51" s="13" t="n">
        <f aca="false">C4*C54*(1+C62)*(1-(0.9825*0.08))*0.99</f>
        <v>1795.84407611136</v>
      </c>
      <c r="D51" s="13" t="n">
        <f aca="false">D4*D54*(1+D62)*(1-(0.9825*0.08))*0.99</f>
        <v>4262.49486799092</v>
      </c>
      <c r="E51" s="13" t="n">
        <f aca="false">E4*E54*(1+E62)*(1-(0.9825*0.08))*0.99</f>
        <v>2925.30761104111</v>
      </c>
      <c r="F51" s="13" t="n">
        <f aca="false">F4*F54*(1+F62)*(1-(0.9825*0.08))*0.99</f>
        <v>2281.15459802102</v>
      </c>
      <c r="G51" s="13" t="n">
        <f aca="false">G4*G54*(1+G62)*(1-(0.9825*0.08))*0.99</f>
        <v>1652.08080770964</v>
      </c>
      <c r="H51" s="13" t="n">
        <f aca="false">H4*H54*(1+H62)*(1-(0.9825*0.08))*0.99</f>
        <v>1452.74443892741</v>
      </c>
      <c r="I51" s="13" t="n">
        <f aca="false">I4*I54*(1+I62)*(1-(0.9825*0.08))*0.99</f>
        <v>1136.93043046493</v>
      </c>
      <c r="J51" s="13" t="n">
        <f aca="false">J4*J54*(1+J62)*(1-(0.9825*0.08))*0.99</f>
        <v>2431.23055841714</v>
      </c>
      <c r="K51" s="14" t="s">
        <v>16</v>
      </c>
    </row>
    <row r="52" customFormat="false" ht="12.8" hidden="false" customHeight="false" outlineLevel="0" collapsed="false">
      <c r="B52" s="15" t="s">
        <v>17</v>
      </c>
      <c r="C52" s="16" t="n">
        <f aca="false">C50*12*C55</f>
        <v>3423.34402764036</v>
      </c>
      <c r="D52" s="16" t="n">
        <f aca="false">D50*12*D55</f>
        <v>5727.85367071204</v>
      </c>
      <c r="E52" s="16" t="n">
        <f aca="false">E50*12*E55</f>
        <v>6594.43864776474</v>
      </c>
      <c r="F52" s="16" t="n">
        <f aca="false">F50*12*F55</f>
        <v>3701.81118326207</v>
      </c>
      <c r="G52" s="16" t="n">
        <f aca="false">G50*12*G55</f>
        <v>948.690532986152</v>
      </c>
      <c r="H52" s="16" t="n">
        <f aca="false">H50*12*H55</f>
        <v>2371.72633246538</v>
      </c>
      <c r="I52" s="16" t="n">
        <f aca="false">I50*12*I55</f>
        <v>795.57468731312</v>
      </c>
      <c r="J52" s="16" t="n">
        <f aca="false">J50*12*J55</f>
        <v>984.950694420269</v>
      </c>
      <c r="K52" s="17" t="n">
        <f aca="false">SUM(C52:J52)</f>
        <v>24548.3897765641</v>
      </c>
    </row>
    <row r="53" customFormat="false" ht="12.8" hidden="false" customHeight="false" outlineLevel="0" collapsed="false">
      <c r="B53" s="15" t="s">
        <v>18</v>
      </c>
      <c r="C53" s="16" t="n">
        <f aca="false">C51*12*C55</f>
        <v>3879.02320440054</v>
      </c>
      <c r="D53" s="16" t="n">
        <f aca="false">D51*12*D55</f>
        <v>7160.99137822475</v>
      </c>
      <c r="E53" s="16" t="n">
        <f aca="false">E51*12*E55</f>
        <v>7722.81209314854</v>
      </c>
      <c r="F53" s="16" t="n">
        <f aca="false">F51*12*F55</f>
        <v>4106.07827643784</v>
      </c>
      <c r="G53" s="16" t="n">
        <f aca="false">G51*12*G55</f>
        <v>1189.49818155094</v>
      </c>
      <c r="H53" s="16" t="n">
        <f aca="false">H51*12*H55</f>
        <v>2614.93999006933</v>
      </c>
      <c r="I53" s="16" t="n">
        <f aca="false">I51*12*I55</f>
        <v>750.374084106853</v>
      </c>
      <c r="J53" s="16" t="n">
        <f aca="false">J51*12*J55</f>
        <v>1312.86450154526</v>
      </c>
      <c r="K53" s="18" t="n">
        <f aca="false">SUM(C53:J53)</f>
        <v>28736.5817094841</v>
      </c>
    </row>
    <row r="54" customFormat="false" ht="12.8" hidden="false" customHeight="false" outlineLevel="0" collapsed="false">
      <c r="B54" s="2" t="s">
        <v>19</v>
      </c>
      <c r="C54" s="19" t="n">
        <v>0.64</v>
      </c>
      <c r="D54" s="20" t="n">
        <v>0.51</v>
      </c>
      <c r="E54" s="19" t="n">
        <v>0.76</v>
      </c>
      <c r="F54" s="19" t="n">
        <v>0.76</v>
      </c>
      <c r="G54" s="19" t="n">
        <v>0.7</v>
      </c>
      <c r="H54" s="19" t="n">
        <v>0.69</v>
      </c>
      <c r="I54" s="19" t="n">
        <v>0.54</v>
      </c>
      <c r="J54" s="19" t="n">
        <v>0.81</v>
      </c>
      <c r="K54" s="14" t="s">
        <v>20</v>
      </c>
      <c r="P54" s="4"/>
      <c r="T54" s="4"/>
    </row>
    <row r="55" customFormat="false" ht="13.4" hidden="false" customHeight="false" outlineLevel="0" collapsed="false">
      <c r="B55" s="2" t="s">
        <v>21</v>
      </c>
      <c r="C55" s="21" t="n">
        <v>0.18</v>
      </c>
      <c r="D55" s="21" t="n">
        <v>0.14</v>
      </c>
      <c r="E55" s="21" t="n">
        <v>0.22</v>
      </c>
      <c r="F55" s="21" t="n">
        <v>0.15</v>
      </c>
      <c r="G55" s="21" t="n">
        <v>0.06</v>
      </c>
      <c r="H55" s="21" t="n">
        <v>0.15</v>
      </c>
      <c r="I55" s="21" t="n">
        <v>0.055</v>
      </c>
      <c r="J55" s="21" t="n">
        <v>0.045</v>
      </c>
      <c r="K55" s="4" t="n">
        <f aca="false">SUM(C55:J55)</f>
        <v>1</v>
      </c>
      <c r="P55" s="4"/>
      <c r="T55" s="4"/>
    </row>
    <row r="56" customFormat="false" ht="12.8" hidden="false" customHeight="false" outlineLevel="0" collapsed="false">
      <c r="J56" s="22" t="s">
        <v>22</v>
      </c>
      <c r="K56" s="23" t="n">
        <f aca="false">K53-K52</f>
        <v>4188.19193291997</v>
      </c>
      <c r="P56" s="4"/>
      <c r="T56" s="4"/>
    </row>
    <row r="57" customFormat="false" ht="12.8" hidden="false" customHeight="false" outlineLevel="0" collapsed="false">
      <c r="J57" s="22" t="s">
        <v>23</v>
      </c>
      <c r="K57" s="4" t="n">
        <f aca="false">K56/K53</f>
        <v>0.145744263366499</v>
      </c>
      <c r="T57" s="4"/>
    </row>
    <row r="58" customFormat="false" ht="12.8" hidden="false" customHeight="false" outlineLevel="0" collapsed="false"/>
    <row r="59" customFormat="false" ht="12.8" hidden="false" customHeight="false" outlineLevel="0" collapsed="false">
      <c r="B59" s="9" t="s">
        <v>24</v>
      </c>
      <c r="C59" s="9"/>
      <c r="D59" s="9"/>
      <c r="E59" s="9"/>
      <c r="F59" s="9"/>
      <c r="G59" s="9"/>
      <c r="H59" s="9"/>
      <c r="I59" s="9"/>
      <c r="J59" s="9"/>
    </row>
    <row r="60" customFormat="false" ht="12.8" hidden="false" customHeight="false" outlineLevel="0" collapsed="false">
      <c r="B60" s="10" t="s">
        <v>25</v>
      </c>
      <c r="C60" s="10" t="n">
        <v>62</v>
      </c>
      <c r="D60" s="11" t="n">
        <v>65</v>
      </c>
      <c r="E60" s="10" t="n">
        <v>65</v>
      </c>
      <c r="F60" s="10" t="n">
        <v>62</v>
      </c>
      <c r="G60" s="10" t="n">
        <v>62</v>
      </c>
      <c r="H60" s="10" t="n">
        <v>62</v>
      </c>
      <c r="I60" s="10" t="n">
        <v>62</v>
      </c>
      <c r="J60" s="10" t="n">
        <v>62</v>
      </c>
    </row>
    <row r="61" customFormat="false" ht="12.8" hidden="false" customHeight="false" outlineLevel="0" collapsed="false">
      <c r="B61" s="24" t="s">
        <v>26</v>
      </c>
      <c r="C61" s="24" t="n">
        <v>60</v>
      </c>
      <c r="D61" s="25" t="n">
        <v>64</v>
      </c>
      <c r="E61" s="24" t="n">
        <v>63</v>
      </c>
      <c r="F61" s="24" t="n">
        <v>60</v>
      </c>
      <c r="G61" s="24" t="n">
        <v>52</v>
      </c>
      <c r="H61" s="24" t="n">
        <v>60</v>
      </c>
      <c r="I61" s="24" t="n">
        <v>47</v>
      </c>
      <c r="J61" s="24" t="n">
        <v>56</v>
      </c>
    </row>
    <row r="62" customFormat="false" ht="12.8" hidden="false" customHeight="false" outlineLevel="0" collapsed="false">
      <c r="B62" s="2" t="s">
        <v>27</v>
      </c>
      <c r="C62" s="20" t="n">
        <v>0.29</v>
      </c>
      <c r="D62" s="20" t="n">
        <v>0.7</v>
      </c>
      <c r="E62" s="20" t="n">
        <v>0.11</v>
      </c>
      <c r="F62" s="20" t="n">
        <v>0.08</v>
      </c>
      <c r="G62" s="20" t="n">
        <v>0.39</v>
      </c>
      <c r="H62" s="20" t="n">
        <v>0.24</v>
      </c>
      <c r="I62" s="20" t="n">
        <v>0.24</v>
      </c>
      <c r="J62" s="20" t="n">
        <v>0.08</v>
      </c>
      <c r="K62" s="0" t="s">
        <v>20</v>
      </c>
    </row>
    <row r="63" customFormat="false" ht="13.4" hidden="false" customHeight="false" outlineLevel="0" collapsed="false">
      <c r="B63" s="2" t="s">
        <v>21</v>
      </c>
      <c r="C63" s="21" t="n">
        <v>0.18</v>
      </c>
      <c r="D63" s="21" t="n">
        <v>0.14</v>
      </c>
      <c r="E63" s="21" t="n">
        <v>0.22</v>
      </c>
      <c r="F63" s="21" t="n">
        <v>0.15</v>
      </c>
      <c r="G63" s="21" t="n">
        <v>0.06</v>
      </c>
      <c r="H63" s="21" t="n">
        <v>0.15</v>
      </c>
      <c r="I63" s="21" t="n">
        <v>0.055</v>
      </c>
      <c r="J63" s="21" t="n">
        <v>0.045</v>
      </c>
      <c r="K63" s="4" t="n">
        <f aca="false">SUM(C63:J63)</f>
        <v>1</v>
      </c>
    </row>
    <row r="64" customFormat="false" ht="12.8" hidden="false" customHeight="false" outlineLevel="0" collapsed="false">
      <c r="B64" s="0" t="s">
        <v>28</v>
      </c>
      <c r="C64" s="4" t="n">
        <v>0.42</v>
      </c>
      <c r="D64" s="4" t="n">
        <v>0.69</v>
      </c>
      <c r="E64" s="4" t="n">
        <v>0.46</v>
      </c>
      <c r="F64" s="4" t="n">
        <v>0.3</v>
      </c>
      <c r="G64" s="4" t="n">
        <v>0.97</v>
      </c>
      <c r="H64" s="4" t="n">
        <v>0.27</v>
      </c>
      <c r="I64" s="4" t="n">
        <v>0.08</v>
      </c>
      <c r="J64" s="4" t="n">
        <v>0.3</v>
      </c>
    </row>
    <row r="65" customFormat="false" ht="12.8" hidden="false" customHeight="false" outlineLevel="0" collapsed="false">
      <c r="B65" s="26" t="s">
        <v>29</v>
      </c>
      <c r="C65" s="27"/>
      <c r="D65" s="28"/>
      <c r="E65" s="28"/>
      <c r="F65" s="28"/>
      <c r="G65" s="28"/>
      <c r="H65" s="28"/>
      <c r="I65" s="28"/>
      <c r="J65" s="29"/>
    </row>
    <row r="66" customFormat="false" ht="12.8" hidden="false" customHeight="false" outlineLevel="0" collapsed="false">
      <c r="B66" s="30" t="s">
        <v>30</v>
      </c>
      <c r="C66" s="30" t="n">
        <f aca="false">'données complémentaires'!$N4+60 - C60</f>
        <v>20.83</v>
      </c>
      <c r="D66" s="30" t="n">
        <f aca="false">'données complémentaires'!$N4+60 - D60</f>
        <v>17.83</v>
      </c>
      <c r="E66" s="30" t="n">
        <f aca="false">'données complémentaires'!$N4+60 - E60</f>
        <v>17.83</v>
      </c>
      <c r="F66" s="30" t="n">
        <f aca="false">'données complémentaires'!$N4+60 - F60</f>
        <v>20.83</v>
      </c>
      <c r="G66" s="30" t="n">
        <f aca="false">'données complémentaires'!$N4+60 - G60</f>
        <v>20.83</v>
      </c>
      <c r="H66" s="30" t="n">
        <f aca="false">'données complémentaires'!$N4+60 - H60</f>
        <v>20.83</v>
      </c>
      <c r="I66" s="30" t="n">
        <f aca="false">'données complémentaires'!$N4+60 - I60</f>
        <v>20.83</v>
      </c>
      <c r="J66" s="30" t="n">
        <f aca="false">'données complémentaires'!$N4+60 - J60</f>
        <v>20.83</v>
      </c>
    </row>
    <row r="67" customFormat="false" ht="12.8" hidden="false" customHeight="false" outlineLevel="0" collapsed="false">
      <c r="B67" s="30" t="s">
        <v>31</v>
      </c>
      <c r="C67" s="30" t="n">
        <f aca="false">'données complémentaires'!$N3+60 - C60</f>
        <v>25.75</v>
      </c>
      <c r="D67" s="30" t="n">
        <f aca="false">'données complémentaires'!$N3+60 - D60</f>
        <v>22.75</v>
      </c>
      <c r="E67" s="30" t="n">
        <f aca="false">'données complémentaires'!$N3+60 - E60</f>
        <v>22.75</v>
      </c>
      <c r="F67" s="30" t="n">
        <f aca="false">'données complémentaires'!$N3+60 - F60</f>
        <v>25.75</v>
      </c>
      <c r="G67" s="30" t="n">
        <f aca="false">'données complémentaires'!$N3+60 - G60</f>
        <v>25.75</v>
      </c>
      <c r="H67" s="30" t="n">
        <f aca="false">'données complémentaires'!$N3+60 - H60</f>
        <v>25.75</v>
      </c>
      <c r="I67" s="30" t="n">
        <f aca="false">'données complémentaires'!$N3+60 - I60</f>
        <v>25.75</v>
      </c>
      <c r="J67" s="30" t="n">
        <f aca="false">'données complémentaires'!$N3+60 - J60</f>
        <v>25.75</v>
      </c>
    </row>
    <row r="68" customFormat="false" ht="12.8" hidden="false" customHeight="false" outlineLevel="0" collapsed="false">
      <c r="B68" s="31" t="s">
        <v>32</v>
      </c>
      <c r="C68" s="32" t="n">
        <f aca="false">C51*(C64*('données complémentaires'!$N$4+60 - C61)+(1-C64)*('données complémentaires'!$N$3+60 - C61))*12</f>
        <v>553484.890958565</v>
      </c>
      <c r="D68" s="32" t="n">
        <f aca="false">D51*(D64*('données complémentaires'!$N$4+60 - D61)+(1-D64)*('données complémentaires'!$N$3+60 - D61))*12</f>
        <v>1041167.22644315</v>
      </c>
      <c r="E68" s="32" t="n">
        <f aca="false">E51*(E64*('données complémentaires'!$N$4+60 - E61)+(1-E64)*('données complémentaires'!$N$3+60 - E61))*12</f>
        <v>789369.686255511</v>
      </c>
      <c r="F68" s="32" t="n">
        <f aca="false">F51*(F64*('données complémentaires'!$N$4+60 - F61)+(1-F64)*('données complémentaires'!$N$3+60 - F61))*12</f>
        <v>719220.670900853</v>
      </c>
      <c r="G68" s="32" t="n">
        <f aca="false">G51*(G64*('données complémentaires'!$N$4+60 - G61)+(1-G64)*('données complémentaires'!$N$3+60 - G61))*12</f>
        <v>614129.981146874</v>
      </c>
      <c r="H68" s="32" t="n">
        <f aca="false">H51*(H64*('données complémentaires'!$N$4+60 - H61)+(1-H64)*('données complémentaires'!$N$3+60 - H61))*12</f>
        <v>460605.989610773</v>
      </c>
      <c r="I68" s="32" t="n">
        <f aca="false">I51*(I64*('données complémentaires'!$N$4+60 - I61)+(1-I64)*('données complémentaires'!$N$3+60 - I61))*12</f>
        <v>550589.030688178</v>
      </c>
      <c r="J68" s="32" t="n">
        <f aca="false">J51*(J64*('données complémentaires'!$N$4+60 - J61)+(1-J64)*('données complémentaires'!$N$3+60 - J61))*12</f>
        <v>883236.887106247</v>
      </c>
      <c r="K68" s="14" t="s">
        <v>33</v>
      </c>
    </row>
    <row r="69" customFormat="false" ht="12.8" hidden="false" customHeight="false" outlineLevel="0" collapsed="false">
      <c r="B69" s="33" t="s">
        <v>34</v>
      </c>
      <c r="C69" s="34" t="n">
        <f aca="false">C68*C63</f>
        <v>99627.2803725416</v>
      </c>
      <c r="D69" s="34" t="n">
        <f aca="false">D68*D63</f>
        <v>145763.41170204</v>
      </c>
      <c r="E69" s="34" t="n">
        <f aca="false">E68*E63</f>
        <v>173661.330976213</v>
      </c>
      <c r="F69" s="34" t="n">
        <f aca="false">F68*F63</f>
        <v>107883.100635128</v>
      </c>
      <c r="G69" s="34" t="n">
        <f aca="false">G68*G63</f>
        <v>36847.7988688124</v>
      </c>
      <c r="H69" s="34" t="n">
        <f aca="false">H68*H63</f>
        <v>69090.8984416159</v>
      </c>
      <c r="I69" s="34" t="n">
        <f aca="false">I68*I63</f>
        <v>30282.3966878498</v>
      </c>
      <c r="J69" s="34" t="n">
        <f aca="false">J68*J63</f>
        <v>39745.6599197811</v>
      </c>
      <c r="K69" s="18" t="n">
        <f aca="false">SUM(C69:J69)</f>
        <v>702901.877603982</v>
      </c>
    </row>
    <row r="70" customFormat="false" ht="12.8" hidden="false" customHeight="false" outlineLevel="0" collapsed="false">
      <c r="B70" s="35" t="s">
        <v>35</v>
      </c>
      <c r="C70" s="36" t="n">
        <f aca="false">C50*(C64*('données complémentaires'!$N$4+60 - C60)+(1-C64)*('données complémentaires'!$N$3+60 - C60))*12</f>
        <v>450428.392294573</v>
      </c>
      <c r="D70" s="36" t="n">
        <f aca="false">D50*(D64*('données complémentaires'!$N$4+60 - D60)+(1-D64)*('données complémentaires'!$N$3+60 - D60))*12</f>
        <v>791883.95262404</v>
      </c>
      <c r="E70" s="36" t="n">
        <f aca="false">E50*(E64*('données complémentaires'!$N$4+60 - E60)+(1-E64)*('données complémentaires'!$N$3+60 - E60))*12</f>
        <v>614086.116768303</v>
      </c>
      <c r="F70" s="36" t="n">
        <f aca="false">F50*(F64*('données complémentaires'!$N$4+60 - F60)+(1-F64)*('données complémentaires'!$N$3+60 - F60))*12</f>
        <v>599051.76441669</v>
      </c>
      <c r="G70" s="36" t="n">
        <f aca="false">G50*(G64*('données complémentaires'!$N$4+60 - G60)+(1-G64)*('données complémentaires'!$N$3+60 - G60))*12</f>
        <v>331687.508746172</v>
      </c>
      <c r="H70" s="36" t="n">
        <f aca="false">H50*(H64*('données complémentaires'!$N$4+60 - H60)+(1-H64)*('données complémentaires'!$N$3+60 - H60))*12</f>
        <v>386142.345339577</v>
      </c>
      <c r="I70" s="36" t="n">
        <f aca="false">I50*(I64*('données complémentaires'!$N$4+60 - I60)+(1-I64)*('données complémentaires'!$N$3+60 - I60))*12</f>
        <v>366780.181843389</v>
      </c>
      <c r="J70" s="36" t="n">
        <f aca="false">J50*(J64*('données complémentaires'!$N$4+60 - J60)+(1-J64)*('données complémentaires'!$N$3+60 - J60))*12</f>
        <v>531304.292363503</v>
      </c>
      <c r="K70" s="14" t="s">
        <v>36</v>
      </c>
    </row>
    <row r="71" customFormat="false" ht="12.8" hidden="false" customHeight="false" outlineLevel="0" collapsed="false">
      <c r="B71" s="33" t="s">
        <v>37</v>
      </c>
      <c r="C71" s="34" t="n">
        <f aca="false">C70*C63</f>
        <v>81077.1106130232</v>
      </c>
      <c r="D71" s="34" t="n">
        <f aca="false">D70*D63</f>
        <v>110863.753367366</v>
      </c>
      <c r="E71" s="34" t="n">
        <f aca="false">E70*E63</f>
        <v>135098.945689027</v>
      </c>
      <c r="F71" s="34" t="n">
        <f aca="false">F70*F63</f>
        <v>89857.7646625034</v>
      </c>
      <c r="G71" s="34" t="n">
        <f aca="false">G70*G63</f>
        <v>19901.2505247703</v>
      </c>
      <c r="H71" s="34" t="n">
        <f aca="false">H70*H63</f>
        <v>57921.3518009365</v>
      </c>
      <c r="I71" s="34" t="n">
        <f aca="false">I70*I63</f>
        <v>20172.9100013864</v>
      </c>
      <c r="J71" s="34" t="n">
        <f aca="false">J70*J63</f>
        <v>23908.6931563576</v>
      </c>
      <c r="K71" s="17" t="n">
        <f aca="false">SUM(C71:J71)</f>
        <v>538801.77981537</v>
      </c>
    </row>
    <row r="72" customFormat="false" ht="12.8" hidden="false" customHeight="false" outlineLevel="0" collapsed="false">
      <c r="J72" s="22" t="s">
        <v>22</v>
      </c>
      <c r="K72" s="23" t="n">
        <f aca="false">K69-K71</f>
        <v>164100.097788612</v>
      </c>
    </row>
    <row r="73" customFormat="false" ht="12.8" hidden="false" customHeight="false" outlineLevel="0" collapsed="false">
      <c r="J73" s="22" t="s">
        <v>23</v>
      </c>
      <c r="K73" s="4" t="n">
        <f aca="false">(K69-K71)/K69</f>
        <v>0.233460889801559</v>
      </c>
    </row>
    <row r="74" customFormat="false" ht="12.8" hidden="false" customHeight="false" outlineLevel="0" collapsed="false">
      <c r="J74" s="22" t="s">
        <v>38</v>
      </c>
      <c r="K74" s="37" t="n">
        <f aca="false">cohortes!H33</f>
        <v>2015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9cd6" objects="true" scenarios="true"/>
  <mergeCells count="3">
    <mergeCell ref="E2:G2"/>
    <mergeCell ref="B47:J47"/>
    <mergeCell ref="B59:J5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99"/>
  <sheetViews>
    <sheetView windowProtection="false"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K4" activeCellId="0" sqref="K4"/>
    </sheetView>
  </sheetViews>
  <sheetFormatPr defaultRowHeight="12.85"/>
  <cols>
    <col collapsed="false" hidden="false" max="2" min="1" style="0" width="11.5204081632653"/>
    <col collapsed="false" hidden="false" max="3" min="3" style="0" width="17.9336734693878"/>
    <col collapsed="false" hidden="false" max="4" min="4" style="0" width="11.5204081632653"/>
    <col collapsed="false" hidden="false" max="5" min="5" style="0" width="15.6836734693878"/>
    <col collapsed="false" hidden="false" max="6" min="6" style="0" width="11.5204081632653"/>
    <col collapsed="false" hidden="false" max="7" min="7" style="0" width="14.1020408163265"/>
    <col collapsed="false" hidden="false" max="8" min="8" style="0" width="18.3571428571429"/>
    <col collapsed="false" hidden="false" max="10" min="9" style="0" width="11.5204081632653"/>
    <col collapsed="false" hidden="false" max="11" min="11" style="0" width="14.9744897959184"/>
    <col collapsed="false" hidden="false" max="13" min="12" style="0" width="22.8775510204082"/>
    <col collapsed="false" hidden="false" max="1025" min="14" style="0" width="11.5204081632653"/>
  </cols>
  <sheetData>
    <row r="1" customFormat="false" ht="12.8" hidden="false" customHeight="false" outlineLevel="0" collapsed="false">
      <c r="B1" s="38" t="s">
        <v>39</v>
      </c>
      <c r="C1" s="38"/>
      <c r="D1" s="38"/>
      <c r="E1" s="38"/>
      <c r="F1" s="39" t="s">
        <v>40</v>
      </c>
      <c r="G1" s="39"/>
      <c r="H1" s="39" t="s">
        <v>41</v>
      </c>
      <c r="I1" s="39"/>
      <c r="J1" s="40" t="s">
        <v>42</v>
      </c>
      <c r="K1" s="40"/>
      <c r="L1" s="40"/>
    </row>
    <row r="2" customFormat="false" ht="12.8" hidden="false" customHeight="false" outlineLevel="0" collapsed="false">
      <c r="A2" s="41" t="s">
        <v>43</v>
      </c>
      <c r="B2" s="42" t="s">
        <v>44</v>
      </c>
      <c r="C2" s="42" t="s">
        <v>45</v>
      </c>
      <c r="D2" s="43" t="s">
        <v>46</v>
      </c>
      <c r="E2" s="43" t="s">
        <v>47</v>
      </c>
      <c r="F2" s="43" t="s">
        <v>48</v>
      </c>
      <c r="G2" s="43" t="s">
        <v>49</v>
      </c>
      <c r="H2" s="43" t="s">
        <v>50</v>
      </c>
      <c r="I2" s="43" t="s">
        <v>51</v>
      </c>
      <c r="J2" s="43" t="s">
        <v>52</v>
      </c>
      <c r="K2" s="43" t="s">
        <v>53</v>
      </c>
      <c r="L2" s="43" t="s">
        <v>54</v>
      </c>
      <c r="M2" s="44" t="s">
        <v>55</v>
      </c>
      <c r="N2" s="0" t="s">
        <v>56</v>
      </c>
      <c r="O2" s="0" t="s">
        <v>57</v>
      </c>
    </row>
    <row r="3" customFormat="false" ht="12.8" hidden="false" customHeight="false" outlineLevel="0" collapsed="false">
      <c r="A3" s="45" t="n">
        <v>2040</v>
      </c>
      <c r="B3" s="46" t="n">
        <v>55.5635</v>
      </c>
      <c r="C3" s="47" t="n">
        <f aca="false">B3/12</f>
        <v>4.63029166666667</v>
      </c>
      <c r="D3" s="48" t="n">
        <f aca="false">C3/$C$29</f>
        <v>1</v>
      </c>
      <c r="E3" s="49" t="n">
        <f aca="false">(C3-C4)/C4</f>
        <v>0</v>
      </c>
      <c r="F3" s="50" t="n">
        <v>3129</v>
      </c>
      <c r="G3" s="51" t="n">
        <f aca="false">(F3-F4)/F4</f>
        <v>0</v>
      </c>
      <c r="H3" s="52" t="n">
        <v>0</v>
      </c>
      <c r="I3" s="51" t="n">
        <f aca="false">E3-H3</f>
        <v>0</v>
      </c>
      <c r="J3" s="52" t="n">
        <v>0.111</v>
      </c>
      <c r="K3" s="52" t="n">
        <v>0.111</v>
      </c>
      <c r="L3" s="52" t="n">
        <f aca="false">K3-J3</f>
        <v>0</v>
      </c>
      <c r="M3" s="43" t="s">
        <v>58</v>
      </c>
      <c r="N3" s="43" t="n">
        <v>27.75</v>
      </c>
      <c r="O3" s="53" t="n">
        <v>0.514</v>
      </c>
      <c r="R3" s="4"/>
      <c r="S3" s="4"/>
      <c r="V3" s="4"/>
    </row>
    <row r="4" customFormat="false" ht="12.8" hidden="false" customHeight="false" outlineLevel="0" collapsed="false">
      <c r="A4" s="54" t="n">
        <v>2039</v>
      </c>
      <c r="B4" s="55" t="n">
        <v>55.5635</v>
      </c>
      <c r="C4" s="56" t="n">
        <f aca="false">B4/12</f>
        <v>4.63029166666667</v>
      </c>
      <c r="D4" s="0" t="n">
        <f aca="false">C4/$C$29</f>
        <v>1</v>
      </c>
      <c r="E4" s="57" t="n">
        <f aca="false">(C4-C5)/C5</f>
        <v>0</v>
      </c>
      <c r="F4" s="58" t="n">
        <v>3129</v>
      </c>
      <c r="G4" s="59" t="n">
        <f aca="false">(F4-F5)/F5</f>
        <v>0</v>
      </c>
      <c r="H4" s="60" t="n">
        <v>0</v>
      </c>
      <c r="I4" s="59" t="n">
        <f aca="false">E4-H4</f>
        <v>0</v>
      </c>
      <c r="J4" s="60" t="n">
        <v>0.111</v>
      </c>
      <c r="K4" s="60" t="n">
        <v>0.111</v>
      </c>
      <c r="L4" s="60" t="n">
        <f aca="false">K4-J4</f>
        <v>0</v>
      </c>
      <c r="M4" s="43" t="s">
        <v>59</v>
      </c>
      <c r="N4" s="43" t="n">
        <v>22.83</v>
      </c>
      <c r="O4" s="53" t="n">
        <v>0.486</v>
      </c>
    </row>
    <row r="5" customFormat="false" ht="12.8" hidden="false" customHeight="false" outlineLevel="0" collapsed="false">
      <c r="A5" s="45" t="n">
        <v>2038</v>
      </c>
      <c r="B5" s="46" t="n">
        <v>55.5635</v>
      </c>
      <c r="C5" s="47" t="n">
        <f aca="false">B5/12</f>
        <v>4.63029166666667</v>
      </c>
      <c r="D5" s="48" t="n">
        <f aca="false">C5/$C$29</f>
        <v>1</v>
      </c>
      <c r="E5" s="49" t="n">
        <f aca="false">(C5-C6)/C6</f>
        <v>0</v>
      </c>
      <c r="F5" s="50" t="n">
        <v>3129</v>
      </c>
      <c r="G5" s="51" t="n">
        <f aca="false">(F5-F6)/F6</f>
        <v>0</v>
      </c>
      <c r="H5" s="52" t="n">
        <v>0</v>
      </c>
      <c r="I5" s="51" t="n">
        <f aca="false">E5-H5</f>
        <v>0</v>
      </c>
      <c r="J5" s="52" t="n">
        <v>0.111</v>
      </c>
      <c r="K5" s="52" t="n">
        <v>0.111</v>
      </c>
      <c r="L5" s="52" t="n">
        <f aca="false">K5-J5</f>
        <v>0</v>
      </c>
      <c r="M5" s="43" t="s">
        <v>60</v>
      </c>
      <c r="N5" s="43" t="n">
        <f aca="false">N3*O3+N4*O4</f>
        <v>25.35888</v>
      </c>
      <c r="O5" s="61"/>
      <c r="R5" s="4"/>
      <c r="S5" s="4"/>
      <c r="V5" s="4"/>
    </row>
    <row r="6" customFormat="false" ht="12.8" hidden="false" customHeight="false" outlineLevel="0" collapsed="false">
      <c r="A6" s="54" t="n">
        <v>2037</v>
      </c>
      <c r="B6" s="55" t="n">
        <v>55.5635</v>
      </c>
      <c r="C6" s="56" t="n">
        <f aca="false">B6/12</f>
        <v>4.63029166666667</v>
      </c>
      <c r="D6" s="0" t="n">
        <f aca="false">C6/$C$29</f>
        <v>1</v>
      </c>
      <c r="E6" s="57" t="n">
        <f aca="false">(C6-C7)/C7</f>
        <v>0</v>
      </c>
      <c r="F6" s="58" t="n">
        <v>3129</v>
      </c>
      <c r="G6" s="59" t="n">
        <f aca="false">(F6-F7)/F7</f>
        <v>0</v>
      </c>
      <c r="H6" s="60" t="n">
        <v>0</v>
      </c>
      <c r="I6" s="59" t="n">
        <f aca="false">E6-H6</f>
        <v>0</v>
      </c>
      <c r="J6" s="60" t="n">
        <v>0.111</v>
      </c>
      <c r="K6" s="60" t="n">
        <v>0.111</v>
      </c>
      <c r="L6" s="60" t="n">
        <f aca="false">K6-J6</f>
        <v>0</v>
      </c>
      <c r="R6" s="4"/>
      <c r="S6" s="4"/>
      <c r="V6" s="4"/>
    </row>
    <row r="7" customFormat="false" ht="12.8" hidden="false" customHeight="false" outlineLevel="0" collapsed="false">
      <c r="A7" s="45" t="n">
        <v>2036</v>
      </c>
      <c r="B7" s="46" t="n">
        <v>55.5635</v>
      </c>
      <c r="C7" s="47" t="n">
        <f aca="false">B7/12</f>
        <v>4.63029166666667</v>
      </c>
      <c r="D7" s="48" t="n">
        <f aca="false">C7/$C$29</f>
        <v>1</v>
      </c>
      <c r="E7" s="49" t="n">
        <f aca="false">(C7-C8)/C8</f>
        <v>0</v>
      </c>
      <c r="F7" s="50" t="n">
        <v>3129</v>
      </c>
      <c r="G7" s="51" t="n">
        <f aca="false">(F7-F8)/F8</f>
        <v>0</v>
      </c>
      <c r="H7" s="52" t="n">
        <v>0</v>
      </c>
      <c r="I7" s="51" t="n">
        <f aca="false">E7-H7</f>
        <v>0</v>
      </c>
      <c r="J7" s="52" t="n">
        <v>0.111</v>
      </c>
      <c r="K7" s="52" t="n">
        <v>0.111</v>
      </c>
      <c r="L7" s="52" t="n">
        <f aca="false">K7-J7</f>
        <v>0</v>
      </c>
      <c r="P7" s="4"/>
      <c r="R7" s="4"/>
      <c r="S7" s="4"/>
      <c r="V7" s="4"/>
    </row>
    <row r="8" customFormat="false" ht="12.8" hidden="false" customHeight="false" outlineLevel="0" collapsed="false">
      <c r="A8" s="54" t="n">
        <v>2035</v>
      </c>
      <c r="B8" s="55" t="n">
        <v>55.5635</v>
      </c>
      <c r="C8" s="56" t="n">
        <f aca="false">B8/12</f>
        <v>4.63029166666667</v>
      </c>
      <c r="D8" s="0" t="n">
        <f aca="false">C8/$C$29</f>
        <v>1</v>
      </c>
      <c r="E8" s="57" t="n">
        <f aca="false">(C8-C9)/C9</f>
        <v>0</v>
      </c>
      <c r="F8" s="58" t="n">
        <v>3129</v>
      </c>
      <c r="G8" s="59" t="n">
        <f aca="false">(F8-F9)/F9</f>
        <v>0</v>
      </c>
      <c r="H8" s="60" t="n">
        <v>0</v>
      </c>
      <c r="I8" s="59" t="n">
        <f aca="false">E8-H8</f>
        <v>0</v>
      </c>
      <c r="J8" s="60" t="n">
        <v>0.111</v>
      </c>
      <c r="K8" s="60" t="n">
        <v>0.111</v>
      </c>
      <c r="L8" s="60" t="n">
        <f aca="false">K8-J8</f>
        <v>0</v>
      </c>
      <c r="P8" s="4"/>
      <c r="R8" s="4"/>
      <c r="S8" s="4"/>
      <c r="V8" s="4"/>
    </row>
    <row r="9" customFormat="false" ht="12.8" hidden="false" customHeight="false" outlineLevel="0" collapsed="false">
      <c r="A9" s="45" t="n">
        <v>2034</v>
      </c>
      <c r="B9" s="46" t="n">
        <v>55.5635</v>
      </c>
      <c r="C9" s="47" t="n">
        <f aca="false">B9/12</f>
        <v>4.63029166666667</v>
      </c>
      <c r="D9" s="48" t="n">
        <f aca="false">C9/$C$29</f>
        <v>1</v>
      </c>
      <c r="E9" s="49" t="n">
        <f aca="false">(C9-C10)/C10</f>
        <v>0</v>
      </c>
      <c r="F9" s="50" t="n">
        <v>3129</v>
      </c>
      <c r="G9" s="51" t="n">
        <f aca="false">(F9-F10)/F10</f>
        <v>0</v>
      </c>
      <c r="H9" s="52" t="n">
        <v>0</v>
      </c>
      <c r="I9" s="51" t="n">
        <f aca="false">E9-H9</f>
        <v>0</v>
      </c>
      <c r="J9" s="52" t="n">
        <v>0.111</v>
      </c>
      <c r="K9" s="52" t="n">
        <v>0.111</v>
      </c>
      <c r="L9" s="52" t="n">
        <f aca="false">K9-J9</f>
        <v>0</v>
      </c>
      <c r="P9" s="4"/>
      <c r="R9" s="4"/>
      <c r="S9" s="4"/>
      <c r="V9" s="4"/>
    </row>
    <row r="10" customFormat="false" ht="12.8" hidden="false" customHeight="false" outlineLevel="0" collapsed="false">
      <c r="A10" s="54" t="n">
        <v>2033</v>
      </c>
      <c r="B10" s="55" t="n">
        <v>55.5635</v>
      </c>
      <c r="C10" s="56" t="n">
        <f aca="false">B10/12</f>
        <v>4.63029166666667</v>
      </c>
      <c r="D10" s="0" t="n">
        <f aca="false">C10/$C$29</f>
        <v>1</v>
      </c>
      <c r="E10" s="57" t="n">
        <f aca="false">(C10-C11)/C11</f>
        <v>0</v>
      </c>
      <c r="F10" s="58" t="n">
        <v>3129</v>
      </c>
      <c r="G10" s="59" t="n">
        <f aca="false">(F10-F11)/F11</f>
        <v>0</v>
      </c>
      <c r="H10" s="60" t="n">
        <v>0</v>
      </c>
      <c r="I10" s="59" t="n">
        <f aca="false">E10-H10</f>
        <v>0</v>
      </c>
      <c r="J10" s="60" t="n">
        <v>0.111</v>
      </c>
      <c r="K10" s="60" t="n">
        <v>0.111</v>
      </c>
      <c r="L10" s="60" t="n">
        <f aca="false">K10-J10</f>
        <v>0</v>
      </c>
      <c r="P10" s="4"/>
      <c r="R10" s="4"/>
      <c r="S10" s="4"/>
      <c r="V10" s="4"/>
    </row>
    <row r="11" customFormat="false" ht="12.8" hidden="false" customHeight="false" outlineLevel="0" collapsed="false">
      <c r="A11" s="45" t="n">
        <v>2032</v>
      </c>
      <c r="B11" s="46" t="n">
        <v>55.5635</v>
      </c>
      <c r="C11" s="47" t="n">
        <f aca="false">B11/12</f>
        <v>4.63029166666667</v>
      </c>
      <c r="D11" s="48" t="n">
        <f aca="false">C11/$C$29</f>
        <v>1</v>
      </c>
      <c r="E11" s="49" t="n">
        <f aca="false">(C11-C12)/C12</f>
        <v>0</v>
      </c>
      <c r="F11" s="50" t="n">
        <v>3129</v>
      </c>
      <c r="G11" s="51" t="n">
        <f aca="false">(F11-F12)/F12</f>
        <v>0</v>
      </c>
      <c r="H11" s="52" t="n">
        <v>0</v>
      </c>
      <c r="I11" s="51" t="n">
        <f aca="false">E11-H11</f>
        <v>0</v>
      </c>
      <c r="J11" s="52" t="n">
        <v>0.111</v>
      </c>
      <c r="K11" s="52" t="n">
        <v>0.111</v>
      </c>
      <c r="L11" s="52" t="n">
        <f aca="false">K11-J11</f>
        <v>0</v>
      </c>
      <c r="P11" s="4"/>
      <c r="R11" s="4"/>
      <c r="S11" s="4"/>
      <c r="V11" s="4"/>
    </row>
    <row r="12" customFormat="false" ht="12.8" hidden="false" customHeight="false" outlineLevel="0" collapsed="false">
      <c r="A12" s="54" t="n">
        <v>2031</v>
      </c>
      <c r="B12" s="55" t="n">
        <v>55.5635</v>
      </c>
      <c r="C12" s="56" t="n">
        <f aca="false">B12/12</f>
        <v>4.63029166666667</v>
      </c>
      <c r="D12" s="0" t="n">
        <f aca="false">C12/$C$29</f>
        <v>1</v>
      </c>
      <c r="E12" s="57" t="n">
        <f aca="false">(C12-C13)/C13</f>
        <v>0</v>
      </c>
      <c r="F12" s="58" t="n">
        <v>3129</v>
      </c>
      <c r="G12" s="59" t="n">
        <f aca="false">(F12-F13)/F13</f>
        <v>0</v>
      </c>
      <c r="H12" s="60" t="n">
        <v>0</v>
      </c>
      <c r="I12" s="59" t="n">
        <f aca="false">E12-H12</f>
        <v>0</v>
      </c>
      <c r="J12" s="60" t="n">
        <v>0.111</v>
      </c>
      <c r="K12" s="60" t="n">
        <v>0.111</v>
      </c>
      <c r="L12" s="60" t="n">
        <f aca="false">K12-J12</f>
        <v>0</v>
      </c>
      <c r="P12" s="4"/>
      <c r="R12" s="4"/>
      <c r="S12" s="4"/>
      <c r="V12" s="4"/>
    </row>
    <row r="13" customFormat="false" ht="12.8" hidden="false" customHeight="false" outlineLevel="0" collapsed="false">
      <c r="A13" s="45" t="n">
        <v>2030</v>
      </c>
      <c r="B13" s="46" t="n">
        <v>55.5635</v>
      </c>
      <c r="C13" s="47" t="n">
        <f aca="false">B13/12</f>
        <v>4.63029166666667</v>
      </c>
      <c r="D13" s="48" t="n">
        <f aca="false">C13/$C$29</f>
        <v>1</v>
      </c>
      <c r="E13" s="49" t="n">
        <f aca="false">(C13-C14)/C14</f>
        <v>0</v>
      </c>
      <c r="F13" s="50" t="n">
        <v>3129</v>
      </c>
      <c r="G13" s="51" t="n">
        <f aca="false">(F13-F14)/F14</f>
        <v>0</v>
      </c>
      <c r="H13" s="52" t="n">
        <v>0</v>
      </c>
      <c r="I13" s="51" t="n">
        <f aca="false">E13-H13</f>
        <v>0</v>
      </c>
      <c r="J13" s="52" t="n">
        <v>0.111</v>
      </c>
      <c r="K13" s="52" t="n">
        <v>0.111</v>
      </c>
      <c r="L13" s="52" t="n">
        <f aca="false">K13-J13</f>
        <v>0</v>
      </c>
      <c r="P13" s="4"/>
      <c r="R13" s="4"/>
      <c r="S13" s="4"/>
      <c r="V13" s="4"/>
    </row>
    <row r="14" customFormat="false" ht="12.8" hidden="false" customHeight="false" outlineLevel="0" collapsed="false">
      <c r="A14" s="54" t="n">
        <v>2029</v>
      </c>
      <c r="B14" s="55" t="n">
        <v>55.5635</v>
      </c>
      <c r="C14" s="56" t="n">
        <f aca="false">B14/12</f>
        <v>4.63029166666667</v>
      </c>
      <c r="D14" s="0" t="n">
        <f aca="false">C14/$C$29</f>
        <v>1</v>
      </c>
      <c r="E14" s="57" t="n">
        <f aca="false">(C14-C15)/C15</f>
        <v>0</v>
      </c>
      <c r="F14" s="58" t="n">
        <v>3129</v>
      </c>
      <c r="G14" s="59" t="n">
        <f aca="false">(F14-F15)/F15</f>
        <v>0</v>
      </c>
      <c r="H14" s="60" t="n">
        <v>0</v>
      </c>
      <c r="I14" s="59" t="n">
        <f aca="false">E14-H14</f>
        <v>0</v>
      </c>
      <c r="J14" s="60" t="n">
        <v>0.111</v>
      </c>
      <c r="K14" s="60" t="n">
        <v>0.111</v>
      </c>
      <c r="L14" s="60" t="n">
        <f aca="false">K14-J14</f>
        <v>0</v>
      </c>
      <c r="P14" s="4"/>
      <c r="R14" s="4"/>
      <c r="S14" s="4"/>
      <c r="V14" s="4"/>
    </row>
    <row r="15" customFormat="false" ht="12.8" hidden="false" customHeight="false" outlineLevel="0" collapsed="false">
      <c r="A15" s="45" t="n">
        <v>2028</v>
      </c>
      <c r="B15" s="46" t="n">
        <v>55.5635</v>
      </c>
      <c r="C15" s="47" t="n">
        <f aca="false">B15/12</f>
        <v>4.63029166666667</v>
      </c>
      <c r="D15" s="48" t="n">
        <f aca="false">C15/$C$29</f>
        <v>1</v>
      </c>
      <c r="E15" s="49" t="n">
        <f aca="false">(C15-C16)/C16</f>
        <v>0</v>
      </c>
      <c r="F15" s="50" t="n">
        <v>3129</v>
      </c>
      <c r="G15" s="51" t="n">
        <f aca="false">(F15-F16)/F16</f>
        <v>0</v>
      </c>
      <c r="H15" s="52" t="n">
        <v>0</v>
      </c>
      <c r="I15" s="51" t="n">
        <f aca="false">E15-H15</f>
        <v>0</v>
      </c>
      <c r="J15" s="52" t="n">
        <v>0.111</v>
      </c>
      <c r="K15" s="52" t="n">
        <v>0.111</v>
      </c>
      <c r="L15" s="52" t="n">
        <f aca="false">K15-J15</f>
        <v>0</v>
      </c>
      <c r="P15" s="4"/>
      <c r="R15" s="4"/>
      <c r="S15" s="4"/>
      <c r="V15" s="4"/>
    </row>
    <row r="16" customFormat="false" ht="12.8" hidden="false" customHeight="false" outlineLevel="0" collapsed="false">
      <c r="A16" s="54" t="n">
        <v>2027</v>
      </c>
      <c r="B16" s="55" t="n">
        <v>55.5635</v>
      </c>
      <c r="C16" s="56" t="n">
        <f aca="false">B16/12</f>
        <v>4.63029166666667</v>
      </c>
      <c r="D16" s="0" t="n">
        <f aca="false">C16/$C$29</f>
        <v>1</v>
      </c>
      <c r="E16" s="57" t="n">
        <f aca="false">(C16-C17)/C17</f>
        <v>0</v>
      </c>
      <c r="F16" s="58" t="n">
        <v>3129</v>
      </c>
      <c r="G16" s="59" t="n">
        <f aca="false">(F16-F17)/F17</f>
        <v>0</v>
      </c>
      <c r="H16" s="60" t="n">
        <v>0</v>
      </c>
      <c r="I16" s="59" t="n">
        <f aca="false">E16-H16</f>
        <v>0</v>
      </c>
      <c r="J16" s="60" t="n">
        <v>0.111</v>
      </c>
      <c r="K16" s="60" t="n">
        <v>0.111</v>
      </c>
      <c r="L16" s="60" t="n">
        <f aca="false">K16-J16</f>
        <v>0</v>
      </c>
      <c r="P16" s="4"/>
      <c r="R16" s="4"/>
      <c r="S16" s="4"/>
      <c r="V16" s="4"/>
    </row>
    <row r="17" customFormat="false" ht="12.8" hidden="false" customHeight="false" outlineLevel="0" collapsed="false">
      <c r="A17" s="45" t="n">
        <v>2026</v>
      </c>
      <c r="B17" s="46" t="n">
        <v>55.5635</v>
      </c>
      <c r="C17" s="47" t="n">
        <f aca="false">B17/12</f>
        <v>4.63029166666667</v>
      </c>
      <c r="D17" s="48" t="n">
        <f aca="false">C17/$C$29</f>
        <v>1</v>
      </c>
      <c r="E17" s="49" t="n">
        <f aca="false">(C17-C18)/C18</f>
        <v>0</v>
      </c>
      <c r="F17" s="50" t="n">
        <v>3129</v>
      </c>
      <c r="G17" s="51" t="n">
        <f aca="false">(F17-F18)/F18</f>
        <v>0</v>
      </c>
      <c r="H17" s="52" t="n">
        <v>0</v>
      </c>
      <c r="I17" s="51" t="n">
        <f aca="false">E17-H17</f>
        <v>0</v>
      </c>
      <c r="J17" s="52" t="n">
        <v>0.111</v>
      </c>
      <c r="K17" s="52" t="n">
        <v>0.111</v>
      </c>
      <c r="L17" s="52" t="n">
        <f aca="false">K17-J17</f>
        <v>0</v>
      </c>
      <c r="P17" s="4"/>
      <c r="R17" s="4"/>
      <c r="S17" s="4"/>
      <c r="V17" s="4"/>
    </row>
    <row r="18" customFormat="false" ht="12.8" hidden="false" customHeight="false" outlineLevel="0" collapsed="false">
      <c r="A18" s="54" t="n">
        <v>2025</v>
      </c>
      <c r="B18" s="55" t="n">
        <v>55.5635</v>
      </c>
      <c r="C18" s="56" t="n">
        <f aca="false">B18/12</f>
        <v>4.63029166666667</v>
      </c>
      <c r="D18" s="0" t="n">
        <f aca="false">C18/$C$29</f>
        <v>1</v>
      </c>
      <c r="E18" s="57" t="n">
        <f aca="false">(C18-C19)/C19</f>
        <v>0</v>
      </c>
      <c r="F18" s="58" t="n">
        <v>3129</v>
      </c>
      <c r="G18" s="59" t="n">
        <f aca="false">(F18-F19)/F19</f>
        <v>0</v>
      </c>
      <c r="H18" s="60" t="n">
        <v>0</v>
      </c>
      <c r="I18" s="59" t="n">
        <f aca="false">E18-H18</f>
        <v>0</v>
      </c>
      <c r="J18" s="60" t="n">
        <v>0.111</v>
      </c>
      <c r="K18" s="60" t="n">
        <v>0.111</v>
      </c>
      <c r="L18" s="60" t="n">
        <f aca="false">K18-J18</f>
        <v>0</v>
      </c>
      <c r="P18" s="4"/>
      <c r="R18" s="4"/>
      <c r="S18" s="4"/>
      <c r="V18" s="4"/>
    </row>
    <row r="19" customFormat="false" ht="12.8" hidden="false" customHeight="false" outlineLevel="0" collapsed="false">
      <c r="A19" s="45" t="n">
        <v>2024</v>
      </c>
      <c r="B19" s="46" t="n">
        <v>55.5635</v>
      </c>
      <c r="C19" s="47" t="n">
        <f aca="false">B19/12</f>
        <v>4.63029166666667</v>
      </c>
      <c r="D19" s="48" t="n">
        <f aca="false">C19/$C$29</f>
        <v>1</v>
      </c>
      <c r="E19" s="49" t="n">
        <f aca="false">(C19-C20)/C20</f>
        <v>0</v>
      </c>
      <c r="F19" s="50" t="n">
        <v>3129</v>
      </c>
      <c r="G19" s="51" t="n">
        <f aca="false">(F19-F20)/F20</f>
        <v>0</v>
      </c>
      <c r="H19" s="52" t="n">
        <v>0</v>
      </c>
      <c r="I19" s="51" t="n">
        <f aca="false">E19-H19</f>
        <v>0</v>
      </c>
      <c r="J19" s="52" t="n">
        <v>0.111</v>
      </c>
      <c r="K19" s="52" t="n">
        <v>0.111</v>
      </c>
      <c r="L19" s="52" t="n">
        <f aca="false">K19-J19</f>
        <v>0</v>
      </c>
      <c r="P19" s="4"/>
      <c r="S19" s="4"/>
    </row>
    <row r="20" customFormat="false" ht="12.8" hidden="false" customHeight="false" outlineLevel="0" collapsed="false">
      <c r="A20" s="54" t="n">
        <v>2023</v>
      </c>
      <c r="B20" s="55" t="n">
        <v>55.5635</v>
      </c>
      <c r="C20" s="56" t="n">
        <f aca="false">B20/12</f>
        <v>4.63029166666667</v>
      </c>
      <c r="D20" s="0" t="n">
        <f aca="false">C20/$C$29</f>
        <v>1</v>
      </c>
      <c r="E20" s="57" t="n">
        <f aca="false">(C20-C21)/C21</f>
        <v>0</v>
      </c>
      <c r="F20" s="58" t="n">
        <v>3129</v>
      </c>
      <c r="G20" s="59" t="n">
        <f aca="false">(F20-F21)/F21</f>
        <v>0</v>
      </c>
      <c r="H20" s="60" t="n">
        <v>0</v>
      </c>
      <c r="I20" s="59" t="n">
        <f aca="false">E20-H20</f>
        <v>0</v>
      </c>
      <c r="J20" s="60" t="n">
        <v>0.111</v>
      </c>
      <c r="K20" s="60" t="n">
        <v>0.111</v>
      </c>
      <c r="L20" s="60" t="n">
        <f aca="false">K20-J20</f>
        <v>0</v>
      </c>
      <c r="P20" s="4"/>
      <c r="S20" s="4"/>
    </row>
    <row r="21" customFormat="false" ht="12.8" hidden="false" customHeight="false" outlineLevel="0" collapsed="false">
      <c r="A21" s="45" t="n">
        <v>2022</v>
      </c>
      <c r="B21" s="46" t="n">
        <v>55.5635</v>
      </c>
      <c r="C21" s="47" t="n">
        <f aca="false">B21/12</f>
        <v>4.63029166666667</v>
      </c>
      <c r="D21" s="48" t="n">
        <f aca="false">C21/$C$29</f>
        <v>1</v>
      </c>
      <c r="E21" s="49" t="n">
        <f aca="false">(C21-C22)/C22</f>
        <v>0</v>
      </c>
      <c r="F21" s="50" t="n">
        <v>3129</v>
      </c>
      <c r="G21" s="51" t="n">
        <f aca="false">(F21-F22)/F22</f>
        <v>0</v>
      </c>
      <c r="H21" s="52" t="n">
        <v>0</v>
      </c>
      <c r="I21" s="51" t="n">
        <f aca="false">E21-H21</f>
        <v>0</v>
      </c>
      <c r="J21" s="52" t="n">
        <v>0.111</v>
      </c>
      <c r="K21" s="52" t="n">
        <v>0.111</v>
      </c>
      <c r="L21" s="52" t="n">
        <f aca="false">K21-J21</f>
        <v>0</v>
      </c>
      <c r="P21" s="4"/>
      <c r="S21" s="4"/>
    </row>
    <row r="22" customFormat="false" ht="12.8" hidden="false" customHeight="false" outlineLevel="0" collapsed="false">
      <c r="A22" s="54" t="n">
        <v>2021</v>
      </c>
      <c r="B22" s="55" t="n">
        <v>55.5635</v>
      </c>
      <c r="C22" s="56" t="n">
        <f aca="false">B22/12</f>
        <v>4.63029166666667</v>
      </c>
      <c r="D22" s="0" t="n">
        <f aca="false">C22/$C$29</f>
        <v>1</v>
      </c>
      <c r="E22" s="57" t="n">
        <f aca="false">(C22-C23)/C23</f>
        <v>0</v>
      </c>
      <c r="F22" s="58" t="n">
        <v>3129</v>
      </c>
      <c r="G22" s="59" t="n">
        <f aca="false">(F22-F23)/F23</f>
        <v>0</v>
      </c>
      <c r="H22" s="60" t="n">
        <v>0</v>
      </c>
      <c r="I22" s="59" t="n">
        <f aca="false">E22-H22</f>
        <v>0</v>
      </c>
      <c r="J22" s="60" t="n">
        <v>0.111</v>
      </c>
      <c r="K22" s="60" t="n">
        <v>0.111</v>
      </c>
      <c r="L22" s="60" t="n">
        <f aca="false">K22-J22</f>
        <v>0</v>
      </c>
      <c r="P22" s="4"/>
      <c r="S22" s="4"/>
    </row>
    <row r="23" customFormat="false" ht="12.8" hidden="false" customHeight="false" outlineLevel="0" collapsed="false">
      <c r="A23" s="45" t="n">
        <v>2020</v>
      </c>
      <c r="B23" s="46" t="n">
        <v>55.5635</v>
      </c>
      <c r="C23" s="47" t="n">
        <f aca="false">B23/12</f>
        <v>4.63029166666667</v>
      </c>
      <c r="D23" s="48" t="n">
        <f aca="false">C23/$C$29</f>
        <v>1</v>
      </c>
      <c r="E23" s="49" t="n">
        <f aca="false">(C23-C24)/C24</f>
        <v>0</v>
      </c>
      <c r="F23" s="50" t="n">
        <v>3129</v>
      </c>
      <c r="G23" s="51" t="n">
        <f aca="false">(F23-F24)/F24</f>
        <v>0</v>
      </c>
      <c r="H23" s="52" t="n">
        <v>0</v>
      </c>
      <c r="I23" s="51" t="n">
        <f aca="false">E23-H23</f>
        <v>0</v>
      </c>
      <c r="J23" s="52" t="n">
        <v>0.111</v>
      </c>
      <c r="K23" s="52" t="n">
        <v>0.111</v>
      </c>
      <c r="L23" s="52" t="n">
        <f aca="false">K23-J23</f>
        <v>0</v>
      </c>
      <c r="P23" s="4"/>
      <c r="S23" s="4"/>
    </row>
    <row r="24" customFormat="false" ht="12.8" hidden="false" customHeight="false" outlineLevel="0" collapsed="false">
      <c r="A24" s="54" t="n">
        <v>2019</v>
      </c>
      <c r="B24" s="55" t="n">
        <v>55.5635</v>
      </c>
      <c r="C24" s="56" t="n">
        <f aca="false">B24/12</f>
        <v>4.63029166666667</v>
      </c>
      <c r="D24" s="0" t="n">
        <f aca="false">C24/$C$29</f>
        <v>1</v>
      </c>
      <c r="E24" s="57" t="n">
        <f aca="false">(C24-C25)/C25</f>
        <v>0</v>
      </c>
      <c r="F24" s="58" t="n">
        <v>3129</v>
      </c>
      <c r="G24" s="59" t="n">
        <f aca="false">(F24-F25)/F25</f>
        <v>0</v>
      </c>
      <c r="H24" s="60" t="n">
        <v>0</v>
      </c>
      <c r="I24" s="59" t="n">
        <f aca="false">E24-H24</f>
        <v>0</v>
      </c>
      <c r="J24" s="60" t="n">
        <v>0.1083</v>
      </c>
      <c r="K24" s="60" t="n">
        <v>0.111</v>
      </c>
      <c r="L24" s="60" t="n">
        <f aca="false">K24-J24</f>
        <v>0.00269999999999999</v>
      </c>
      <c r="P24" s="4"/>
      <c r="S24" s="4"/>
    </row>
    <row r="25" customFormat="false" ht="12.8" hidden="false" customHeight="false" outlineLevel="0" collapsed="false">
      <c r="A25" s="45" t="n">
        <v>2018</v>
      </c>
      <c r="B25" s="46" t="n">
        <v>55.5635</v>
      </c>
      <c r="C25" s="47" t="n">
        <f aca="false">B25/12</f>
        <v>4.63029166666667</v>
      </c>
      <c r="D25" s="48" t="n">
        <f aca="false">C25/$C$29</f>
        <v>1</v>
      </c>
      <c r="E25" s="49" t="n">
        <f aca="false">(C25-C26)/C26</f>
        <v>0</v>
      </c>
      <c r="F25" s="50" t="n">
        <v>3129</v>
      </c>
      <c r="G25" s="51" t="n">
        <f aca="false">(F25-F26)/F26</f>
        <v>0</v>
      </c>
      <c r="H25" s="52" t="n">
        <v>0</v>
      </c>
      <c r="I25" s="51" t="n">
        <f aca="false">E25-H25</f>
        <v>0</v>
      </c>
      <c r="J25" s="52" t="n">
        <v>0.1056</v>
      </c>
      <c r="K25" s="52" t="n">
        <v>0.111</v>
      </c>
      <c r="L25" s="52" t="n">
        <f aca="false">K25-J25</f>
        <v>0.0054</v>
      </c>
      <c r="P25" s="4"/>
      <c r="S25" s="4"/>
    </row>
    <row r="26" customFormat="false" ht="12.8" hidden="false" customHeight="false" outlineLevel="0" collapsed="false">
      <c r="A26" s="54" t="n">
        <v>2017</v>
      </c>
      <c r="B26" s="55" t="n">
        <v>55.5635</v>
      </c>
      <c r="C26" s="56" t="n">
        <f aca="false">B26/12</f>
        <v>4.63029166666667</v>
      </c>
      <c r="D26" s="0" t="n">
        <f aca="false">C26/$C$29</f>
        <v>1</v>
      </c>
      <c r="E26" s="57" t="n">
        <f aca="false">(C26-C27)/C27</f>
        <v>0</v>
      </c>
      <c r="F26" s="58" t="n">
        <v>3129</v>
      </c>
      <c r="G26" s="59" t="n">
        <f aca="false">(F26-F27)/F27</f>
        <v>0</v>
      </c>
      <c r="H26" s="60" t="n">
        <v>0</v>
      </c>
      <c r="I26" s="59" t="n">
        <f aca="false">E26-H26</f>
        <v>0</v>
      </c>
      <c r="J26" s="60" t="n">
        <v>0.1029</v>
      </c>
      <c r="K26" s="60" t="n">
        <v>0.111</v>
      </c>
      <c r="L26" s="60" t="n">
        <f aca="false">K26-J26</f>
        <v>0.00810000000000001</v>
      </c>
      <c r="P26" s="4"/>
      <c r="S26" s="4"/>
    </row>
    <row r="27" customFormat="false" ht="12.8" hidden="false" customHeight="false" outlineLevel="0" collapsed="false">
      <c r="A27" s="45" t="n">
        <v>2016</v>
      </c>
      <c r="B27" s="46" t="n">
        <v>55.5635</v>
      </c>
      <c r="C27" s="47" t="n">
        <f aca="false">B27/12</f>
        <v>4.63029166666667</v>
      </c>
      <c r="D27" s="48" t="n">
        <f aca="false">C27/$C$29</f>
        <v>1</v>
      </c>
      <c r="E27" s="49" t="n">
        <f aca="false">(C27-C28)/C28</f>
        <v>0</v>
      </c>
      <c r="F27" s="50" t="n">
        <v>3129</v>
      </c>
      <c r="G27" s="51" t="n">
        <f aca="false">(F27-F28)/F28</f>
        <v>0</v>
      </c>
      <c r="H27" s="52" t="n">
        <v>0</v>
      </c>
      <c r="I27" s="51" t="n">
        <f aca="false">E27-H27</f>
        <v>0</v>
      </c>
      <c r="J27" s="52" t="n">
        <v>0.0994</v>
      </c>
      <c r="K27" s="52" t="n">
        <v>0.111</v>
      </c>
      <c r="L27" s="52" t="n">
        <f aca="false">K27-J27</f>
        <v>0.0116</v>
      </c>
      <c r="P27" s="4"/>
      <c r="S27" s="4"/>
    </row>
    <row r="28" customFormat="false" ht="12.8" hidden="false" customHeight="false" outlineLevel="0" collapsed="false">
      <c r="A28" s="54" t="n">
        <v>2015</v>
      </c>
      <c r="B28" s="55" t="n">
        <v>55.5635</v>
      </c>
      <c r="C28" s="56" t="n">
        <f aca="false">B28/12</f>
        <v>4.63029166666667</v>
      </c>
      <c r="D28" s="0" t="n">
        <f aca="false">C28/$C$29</f>
        <v>1</v>
      </c>
      <c r="E28" s="57" t="n">
        <f aca="false">(C28-C29)/C29</f>
        <v>0</v>
      </c>
      <c r="F28" s="58" t="n">
        <v>3129</v>
      </c>
      <c r="G28" s="59" t="n">
        <f aca="false">(F28-F29)/F29</f>
        <v>0</v>
      </c>
      <c r="H28" s="60" t="n">
        <v>0</v>
      </c>
      <c r="I28" s="59" t="n">
        <f aca="false">E28-H28</f>
        <v>0</v>
      </c>
      <c r="J28" s="60" t="n">
        <v>0.0954</v>
      </c>
      <c r="K28" s="60" t="n">
        <v>0.1105</v>
      </c>
      <c r="L28" s="60" t="n">
        <f aca="false">K28-J28</f>
        <v>0.0151</v>
      </c>
    </row>
    <row r="29" customFormat="false" ht="12.8" hidden="false" customHeight="false" outlineLevel="0" collapsed="false">
      <c r="A29" s="45" t="n">
        <v>2014</v>
      </c>
      <c r="B29" s="46" t="n">
        <v>55.5635</v>
      </c>
      <c r="C29" s="47" t="n">
        <f aca="false">B29/12</f>
        <v>4.63029166666667</v>
      </c>
      <c r="D29" s="48" t="n">
        <f aca="false">C29/$C$29</f>
        <v>1</v>
      </c>
      <c r="E29" s="49" t="n">
        <f aca="false">(C29-C30)/C30</f>
        <v>0</v>
      </c>
      <c r="F29" s="50" t="n">
        <v>3129</v>
      </c>
      <c r="G29" s="51" t="n">
        <f aca="false">(F29-F30)/F30</f>
        <v>0.0139338950097213</v>
      </c>
      <c r="H29" s="52" t="n">
        <v>0.002</v>
      </c>
      <c r="I29" s="51" t="n">
        <f aca="false">E29-H29</f>
        <v>-0.002</v>
      </c>
      <c r="J29" s="52" t="n">
        <v>0.0914</v>
      </c>
      <c r="K29" s="52" t="n">
        <v>0.109</v>
      </c>
      <c r="L29" s="52" t="n">
        <f aca="false">K29-J29</f>
        <v>0.0176</v>
      </c>
    </row>
    <row r="30" customFormat="false" ht="12.8" hidden="false" customHeight="false" outlineLevel="0" collapsed="false">
      <c r="A30" s="54" t="n">
        <v>2013</v>
      </c>
      <c r="B30" s="55" t="n">
        <v>55.5635</v>
      </c>
      <c r="C30" s="56" t="n">
        <f aca="false">B30/12</f>
        <v>4.63029166666667</v>
      </c>
      <c r="D30" s="0" t="n">
        <f aca="false">C30/$C$29</f>
        <v>1</v>
      </c>
      <c r="E30" s="57" t="n">
        <f aca="false">(C30-C31)/C31</f>
        <v>0</v>
      </c>
      <c r="F30" s="58" t="n">
        <v>3086</v>
      </c>
      <c r="G30" s="59" t="n">
        <f aca="false">(F30-F31)/F31</f>
        <v>0.0181458264599142</v>
      </c>
      <c r="H30" s="60" t="n">
        <v>0.0117</v>
      </c>
      <c r="I30" s="59" t="n">
        <f aca="false">E30-H30</f>
        <v>-0.0117</v>
      </c>
      <c r="J30" s="60" t="n">
        <v>0.0876</v>
      </c>
      <c r="K30" s="60" t="n">
        <v>0.1065</v>
      </c>
      <c r="L30" s="60" t="n">
        <f aca="false">K30-J30</f>
        <v>0.0189</v>
      </c>
    </row>
    <row r="31" customFormat="false" ht="12.8" hidden="false" customHeight="false" outlineLevel="0" collapsed="false">
      <c r="A31" s="45" t="n">
        <v>2012</v>
      </c>
      <c r="B31" s="46" t="n">
        <v>55.5635</v>
      </c>
      <c r="C31" s="47" t="n">
        <f aca="false">B31/12</f>
        <v>4.63029166666667</v>
      </c>
      <c r="D31" s="48" t="n">
        <f aca="false">C31/$C$29</f>
        <v>1</v>
      </c>
      <c r="E31" s="49" t="n">
        <f aca="false">(C31-C32)/C32</f>
        <v>0</v>
      </c>
      <c r="F31" s="50" t="n">
        <v>3031</v>
      </c>
      <c r="G31" s="51" t="n">
        <f aca="false">(F31-F32)/F32</f>
        <v>0.0288526816021724</v>
      </c>
      <c r="H31" s="52" t="n">
        <v>0.0225</v>
      </c>
      <c r="I31" s="51" t="n">
        <f aca="false">E31-H31</f>
        <v>-0.0225</v>
      </c>
      <c r="J31" s="52" t="n">
        <v>0.0839</v>
      </c>
      <c r="K31" s="52" t="n">
        <v>0.1055</v>
      </c>
      <c r="L31" s="52" t="n">
        <f aca="false">K31-J31</f>
        <v>0.0216</v>
      </c>
    </row>
    <row r="32" customFormat="false" ht="12.8" hidden="false" customHeight="false" outlineLevel="0" collapsed="false">
      <c r="A32" s="54" t="n">
        <v>2011</v>
      </c>
      <c r="B32" s="55" t="n">
        <v>55.5635</v>
      </c>
      <c r="C32" s="56" t="n">
        <f aca="false">B32/12</f>
        <v>4.63029166666667</v>
      </c>
      <c r="D32" s="0" t="n">
        <f aca="false">C32/$C$29</f>
        <v>1</v>
      </c>
      <c r="E32" s="57" t="n">
        <f aca="false">(C32-C33)/C33</f>
        <v>0</v>
      </c>
      <c r="F32" s="58" t="n">
        <v>2946</v>
      </c>
      <c r="G32" s="59" t="n">
        <f aca="false">(F32-F33)/F33</f>
        <v>0.0211438474870017</v>
      </c>
      <c r="H32" s="60" t="n">
        <v>0.022</v>
      </c>
      <c r="I32" s="59" t="n">
        <f aca="false">E32-H32</f>
        <v>-0.022</v>
      </c>
      <c r="J32" s="60" t="n">
        <v>0.08</v>
      </c>
      <c r="K32" s="60" t="n">
        <v>0.1055</v>
      </c>
      <c r="L32" s="60" t="n">
        <f aca="false">K32-J32</f>
        <v>0.0255</v>
      </c>
    </row>
    <row r="33" customFormat="false" ht="12.8" hidden="false" customHeight="false" outlineLevel="0" collapsed="false">
      <c r="A33" s="45" t="n">
        <v>2010</v>
      </c>
      <c r="B33" s="46" t="n">
        <v>55.5635</v>
      </c>
      <c r="C33" s="47" t="n">
        <f aca="false">B33/12</f>
        <v>4.63029166666667</v>
      </c>
      <c r="D33" s="48" t="n">
        <f aca="false">C33/$C$29</f>
        <v>1</v>
      </c>
      <c r="E33" s="49" t="n">
        <f aca="false">(C33-C34)/C34</f>
        <v>0.00801499228071704</v>
      </c>
      <c r="F33" s="50" t="n">
        <v>2885</v>
      </c>
      <c r="G33" s="51" t="n">
        <f aca="false">(F33-F34)/F34</f>
        <v>0.00909408884225254</v>
      </c>
      <c r="H33" s="52" t="n">
        <v>0.013</v>
      </c>
      <c r="I33" s="51" t="n">
        <f aca="false">E33-H33</f>
        <v>-0.00498500771928296</v>
      </c>
      <c r="J33" s="52" t="n">
        <v>0.0785</v>
      </c>
      <c r="K33" s="52" t="n">
        <v>0.1055</v>
      </c>
      <c r="L33" s="52" t="n">
        <f aca="false">K33-J33</f>
        <v>0.027</v>
      </c>
    </row>
    <row r="34" customFormat="false" ht="12.8" hidden="false" customHeight="false" outlineLevel="0" collapsed="false">
      <c r="A34" s="54" t="n">
        <v>2009</v>
      </c>
      <c r="B34" s="55" t="n">
        <v>55.1217</v>
      </c>
      <c r="C34" s="56" t="n">
        <f aca="false">B34/12</f>
        <v>4.593475</v>
      </c>
      <c r="D34" s="0" t="n">
        <f aca="false">C34/$C$29</f>
        <v>0.992048737030605</v>
      </c>
      <c r="E34" s="57" t="n">
        <f aca="false">(C34-C35)/C35</f>
        <v>0.00809450045812742</v>
      </c>
      <c r="F34" s="58" t="n">
        <v>2859</v>
      </c>
      <c r="G34" s="59" t="n">
        <f aca="false">(F34-F35)/F35</f>
        <v>0.0310133429498738</v>
      </c>
      <c r="H34" s="60" t="n">
        <v>0.018</v>
      </c>
      <c r="I34" s="59" t="n">
        <f aca="false">E34-H34</f>
        <v>-0.00990549954187258</v>
      </c>
      <c r="J34" s="60" t="n">
        <v>0.0785</v>
      </c>
      <c r="K34" s="60" t="n">
        <v>0.1055</v>
      </c>
      <c r="L34" s="60" t="n">
        <f aca="false">K34-J34</f>
        <v>0.027</v>
      </c>
    </row>
    <row r="35" customFormat="false" ht="12.8" hidden="false" customHeight="false" outlineLevel="0" collapsed="false">
      <c r="A35" s="45" t="n">
        <v>2008</v>
      </c>
      <c r="B35" s="46" t="n">
        <v>54.6791</v>
      </c>
      <c r="C35" s="47" t="n">
        <f aca="false">B35/12</f>
        <v>4.55659166666667</v>
      </c>
      <c r="D35" s="48" t="n">
        <f aca="false">C35/$C$29</f>
        <v>0.984083076120115</v>
      </c>
      <c r="E35" s="49" t="n">
        <f aca="false">(C35-C36)/C36</f>
        <v>0.00558709561142656</v>
      </c>
      <c r="F35" s="50" t="n">
        <v>2773</v>
      </c>
      <c r="G35" s="51" t="n">
        <f aca="false">(F35-F36)/F36</f>
        <v>0.0339299030574198</v>
      </c>
      <c r="H35" s="52" t="n">
        <v>0.034</v>
      </c>
      <c r="I35" s="51" t="n">
        <f aca="false">E35-H35</f>
        <v>-0.0284129043885734</v>
      </c>
      <c r="J35" s="52" t="n">
        <v>0.0785</v>
      </c>
      <c r="K35" s="52" t="n">
        <v>0.1055</v>
      </c>
      <c r="L35" s="52" t="n">
        <f aca="false">K35-J35</f>
        <v>0.027</v>
      </c>
    </row>
    <row r="36" customFormat="false" ht="12.8" hidden="false" customHeight="false" outlineLevel="0" collapsed="false">
      <c r="A36" s="54" t="n">
        <v>2007</v>
      </c>
      <c r="B36" s="55" t="n">
        <v>54.3753</v>
      </c>
      <c r="C36" s="56" t="n">
        <f aca="false">B36/12</f>
        <v>4.531275</v>
      </c>
      <c r="D36" s="0" t="n">
        <f aca="false">C36/$C$29</f>
        <v>0.978615457989508</v>
      </c>
      <c r="E36" s="57" t="n">
        <f aca="false">(C36-C37)/C37</f>
        <v>0.00984301322492395</v>
      </c>
      <c r="F36" s="58" t="n">
        <v>2682</v>
      </c>
      <c r="G36" s="59" t="n">
        <f aca="false">(F36-F37)/F37</f>
        <v>0.0359212050984936</v>
      </c>
      <c r="H36" s="60" t="n">
        <v>0.037</v>
      </c>
      <c r="I36" s="59" t="n">
        <f aca="false">E36-H36</f>
        <v>-0.027156986775076</v>
      </c>
      <c r="J36" s="60" t="n">
        <v>0.0785</v>
      </c>
      <c r="K36" s="60" t="n">
        <v>0.1055</v>
      </c>
      <c r="L36" s="60" t="n">
        <f aca="false">K36-J36</f>
        <v>0.027</v>
      </c>
    </row>
    <row r="37" customFormat="false" ht="12.8" hidden="false" customHeight="false" outlineLevel="0" collapsed="false">
      <c r="A37" s="45" t="n">
        <v>2006</v>
      </c>
      <c r="B37" s="46" t="n">
        <v>53.8453</v>
      </c>
      <c r="C37" s="47" t="n">
        <f aca="false">B37/12</f>
        <v>4.48710833333333</v>
      </c>
      <c r="D37" s="48" t="n">
        <f aca="false">C37/$C$29</f>
        <v>0.969076822014452</v>
      </c>
      <c r="E37" s="49" t="n">
        <f aca="false">(C37-C38)/C38</f>
        <v>0.0121068697698548</v>
      </c>
      <c r="F37" s="50" t="n">
        <v>2589</v>
      </c>
      <c r="G37" s="51" t="n">
        <f aca="false">(F37-F38)/F38</f>
        <v>0.0290143084260731</v>
      </c>
      <c r="H37" s="52" t="n">
        <v>0.029</v>
      </c>
      <c r="I37" s="51" t="n">
        <f aca="false">E37-H37</f>
        <v>-0.0168931302301452</v>
      </c>
      <c r="J37" s="52" t="n">
        <v>0.0785</v>
      </c>
      <c r="K37" s="52" t="n">
        <v>0.1055</v>
      </c>
      <c r="L37" s="52" t="n">
        <f aca="false">K37-J37</f>
        <v>0.027</v>
      </c>
    </row>
    <row r="38" customFormat="false" ht="12.8" hidden="false" customHeight="false" outlineLevel="0" collapsed="false">
      <c r="A38" s="54" t="n">
        <v>2005</v>
      </c>
      <c r="B38" s="55" t="n">
        <v>53.2012</v>
      </c>
      <c r="C38" s="56" t="n">
        <f aca="false">B38/12</f>
        <v>4.43343333333333</v>
      </c>
      <c r="D38" s="0" t="n">
        <f aca="false">C38/$C$29</f>
        <v>0.957484679690804</v>
      </c>
      <c r="E38" s="57" t="n">
        <f aca="false">(C38-C39)/C39</f>
        <v>0.00844267360176517</v>
      </c>
      <c r="F38" s="58" t="n">
        <v>2516</v>
      </c>
      <c r="G38" s="59" t="n">
        <f aca="false">(F38-F39)/F39</f>
        <v>0.0161550888529887</v>
      </c>
      <c r="H38" s="60" t="n">
        <v>0.024</v>
      </c>
      <c r="I38" s="59" t="n">
        <f aca="false">E38-H38</f>
        <v>-0.0155573263982348</v>
      </c>
      <c r="J38" s="60" t="n">
        <v>0.0785</v>
      </c>
      <c r="K38" s="60" t="n">
        <v>0.1045</v>
      </c>
      <c r="L38" s="60" t="n">
        <f aca="false">K38-J38</f>
        <v>0.026</v>
      </c>
    </row>
    <row r="39" customFormat="false" ht="12.8" hidden="false" customHeight="false" outlineLevel="0" collapsed="false">
      <c r="A39" s="45" t="n">
        <v>2004</v>
      </c>
      <c r="B39" s="46" t="n">
        <v>52.7558</v>
      </c>
      <c r="C39" s="47" t="n">
        <f aca="false">B39/12</f>
        <v>4.39631666666667</v>
      </c>
      <c r="D39" s="48" t="n">
        <f aca="false">C39/$C$29</f>
        <v>0.949468625986484</v>
      </c>
      <c r="E39" s="49" t="n">
        <f aca="false">(C39-C40)/C40</f>
        <v>0.00500063817668151</v>
      </c>
      <c r="F39" s="50" t="n">
        <v>2476</v>
      </c>
      <c r="G39" s="51" t="n">
        <f aca="false">(F39-F40)/F40</f>
        <v>0.0180921052631579</v>
      </c>
      <c r="H39" s="52" t="n">
        <v>0.023</v>
      </c>
      <c r="I39" s="51" t="n">
        <f aca="false">E39-H39</f>
        <v>-0.0179993618233185</v>
      </c>
      <c r="J39" s="52" t="n">
        <v>0.0785</v>
      </c>
      <c r="K39" s="52" t="n">
        <v>0.1035</v>
      </c>
      <c r="L39" s="52" t="n">
        <f aca="false">K39-J39</f>
        <v>0.025</v>
      </c>
    </row>
    <row r="40" customFormat="false" ht="12.8" hidden="false" customHeight="false" outlineLevel="0" collapsed="false">
      <c r="A40" s="54" t="n">
        <v>2003</v>
      </c>
      <c r="B40" s="55" t="n">
        <v>52.4933</v>
      </c>
      <c r="C40" s="56" t="n">
        <f aca="false">B40/12</f>
        <v>4.37444166666667</v>
      </c>
      <c r="D40" s="0" t="n">
        <f aca="false">C40/$C$29</f>
        <v>0.944744301564876</v>
      </c>
      <c r="E40" s="57" t="n">
        <f aca="false">(C40-C41)/C41</f>
        <v>0.00741359126412962</v>
      </c>
      <c r="F40" s="58" t="n">
        <v>2432</v>
      </c>
      <c r="G40" s="59" t="n">
        <f aca="false">(F40-F41)/F41</f>
        <v>0.0340136054421769</v>
      </c>
      <c r="H40" s="60" t="n">
        <v>0.016</v>
      </c>
      <c r="I40" s="59" t="n">
        <f aca="false">E40-H40</f>
        <v>-0.00858640873587038</v>
      </c>
      <c r="J40" s="60" t="n">
        <v>0.0785</v>
      </c>
      <c r="K40" s="60" t="n">
        <v>0.1035</v>
      </c>
      <c r="L40" s="60" t="n">
        <f aca="false">K40-J40</f>
        <v>0.025</v>
      </c>
    </row>
    <row r="41" customFormat="false" ht="12.8" hidden="false" customHeight="false" outlineLevel="0" collapsed="false">
      <c r="A41" s="45" t="n">
        <v>2002</v>
      </c>
      <c r="B41" s="46" t="n">
        <v>52.107</v>
      </c>
      <c r="C41" s="47" t="n">
        <f aca="false">B41/12</f>
        <v>4.34225</v>
      </c>
      <c r="D41" s="48" t="n">
        <f aca="false">C41/$C$29</f>
        <v>0.937791895758907</v>
      </c>
      <c r="E41" s="49" t="n">
        <f aca="false">(C41-C42)/C42</f>
        <v>0.0131201854091405</v>
      </c>
      <c r="F41" s="50" t="n">
        <v>2352</v>
      </c>
      <c r="G41" s="51" t="n">
        <f aca="false">(F41-F42)/F42</f>
        <v>0.0319805110367871</v>
      </c>
      <c r="H41" s="52" t="n">
        <v>0.016</v>
      </c>
      <c r="I41" s="51" t="n">
        <f aca="false">E41-H41</f>
        <v>-0.00287981459085947</v>
      </c>
      <c r="J41" s="52" t="n">
        <v>0.0785</v>
      </c>
      <c r="K41" s="52" t="n">
        <v>0.1035</v>
      </c>
      <c r="L41" s="52" t="n">
        <f aca="false">K41-J41</f>
        <v>0.025</v>
      </c>
    </row>
    <row r="42" customFormat="false" ht="12.8" hidden="false" customHeight="false" outlineLevel="0" collapsed="false">
      <c r="A42" s="54" t="n">
        <v>2001</v>
      </c>
      <c r="B42" s="55" t="n">
        <v>51.4322</v>
      </c>
      <c r="C42" s="56" t="n">
        <f aca="false">B42/12</f>
        <v>4.28601666666667</v>
      </c>
      <c r="D42" s="0" t="n">
        <f aca="false">C42/$C$29</f>
        <v>0.92564723244576</v>
      </c>
      <c r="E42" s="57" t="n">
        <f aca="false">(C42-C43)/C43</f>
        <v>0.0145058465228574</v>
      </c>
      <c r="F42" s="58" t="n">
        <v>2279.11280769929</v>
      </c>
      <c r="G42" s="59" t="n">
        <f aca="false">(F42-F43)/F43</f>
        <v>0.0170068027210918</v>
      </c>
      <c r="H42" s="60" t="n">
        <v>0.015</v>
      </c>
      <c r="I42" s="59" t="n">
        <f aca="false">E42-H42</f>
        <v>-0.000494153477142642</v>
      </c>
      <c r="J42" s="60" t="n">
        <v>0.0785</v>
      </c>
      <c r="K42" s="60" t="n">
        <v>0.0955</v>
      </c>
      <c r="L42" s="60" t="n">
        <f aca="false">K42-J42</f>
        <v>0.017</v>
      </c>
    </row>
    <row r="43" customFormat="false" ht="12.8" hidden="false" customHeight="false" outlineLevel="0" collapsed="false">
      <c r="A43" s="45" t="n">
        <v>2000</v>
      </c>
      <c r="B43" s="46" t="n">
        <v>50.6968</v>
      </c>
      <c r="C43" s="47" t="n">
        <f aca="false">B43/12</f>
        <v>4.22473333333333</v>
      </c>
      <c r="D43" s="48" t="n">
        <f aca="false">C43/$C$29</f>
        <v>0.912411925094712</v>
      </c>
      <c r="E43" s="49" t="n">
        <f aca="false">(C43-C44)/C44</f>
        <v>0.00359893101059097</v>
      </c>
      <c r="F43" s="50" t="n">
        <v>2241.00055338993</v>
      </c>
      <c r="G43" s="51" t="n">
        <f aca="false">(F43-F44)/F44</f>
        <v>0.0158949550794727</v>
      </c>
      <c r="H43" s="52" t="n">
        <v>0.053</v>
      </c>
      <c r="I43" s="51" t="n">
        <f aca="false">E43-H43</f>
        <v>-0.049401068989409</v>
      </c>
      <c r="J43" s="52" t="n">
        <v>0.0785</v>
      </c>
      <c r="K43" s="52" t="n">
        <v>0.0955</v>
      </c>
      <c r="L43" s="52" t="n">
        <f aca="false">K43-J43</f>
        <v>0.017</v>
      </c>
    </row>
    <row r="44" customFormat="false" ht="12.8" hidden="false" customHeight="false" outlineLevel="0" collapsed="false">
      <c r="A44" s="54" t="n">
        <v>1999</v>
      </c>
      <c r="B44" s="55" t="n">
        <v>50.515</v>
      </c>
      <c r="C44" s="56" t="n">
        <f aca="false">B44/12</f>
        <v>4.20958333333333</v>
      </c>
      <c r="D44" s="0" t="n">
        <f aca="false">C44/$C$29</f>
        <v>0.909139992981004</v>
      </c>
      <c r="E44" s="57" t="n">
        <f aca="false">(C44-C45)/C45</f>
        <v>0.0118015134459538</v>
      </c>
      <c r="F44" s="58" t="n">
        <v>2205.93727942533</v>
      </c>
      <c r="G44" s="59" t="n">
        <f aca="false">(F44-F45)/F45</f>
        <v>0.0269694819020601</v>
      </c>
      <c r="H44" s="60" t="n">
        <v>0.0688311688311681</v>
      </c>
      <c r="I44" s="59" t="n">
        <f aca="false">E44-H44</f>
        <v>-0.0570296553852143</v>
      </c>
      <c r="J44" s="60" t="n">
        <v>0.0785</v>
      </c>
      <c r="K44" s="60" t="n">
        <v>0.0965</v>
      </c>
      <c r="L44" s="60" t="n">
        <f aca="false">K44-J44</f>
        <v>0.018</v>
      </c>
    </row>
    <row r="45" customFormat="false" ht="12.8" hidden="false" customHeight="false" outlineLevel="0" collapsed="false">
      <c r="A45" s="45" t="n">
        <v>1998</v>
      </c>
      <c r="B45" s="46" t="n">
        <v>49.9258</v>
      </c>
      <c r="C45" s="47" t="n">
        <f aca="false">B45/12</f>
        <v>4.16048333333333</v>
      </c>
      <c r="D45" s="48" t="n">
        <f aca="false">C45/$C$29</f>
        <v>0.898535909364961</v>
      </c>
      <c r="E45" s="49" t="n">
        <f aca="false">(C45-C46)/C46</f>
        <v>0.0101958848202923</v>
      </c>
      <c r="F45" s="50" t="n">
        <v>2148.00665287511</v>
      </c>
      <c r="G45" s="51" t="n">
        <f aca="false">(F45-F46)/F46</f>
        <v>0.0269679300291537</v>
      </c>
      <c r="H45" s="52" t="n">
        <v>0.0377358490566023</v>
      </c>
      <c r="I45" s="51" t="n">
        <f aca="false">E45-H45</f>
        <v>-0.02753996423631</v>
      </c>
      <c r="J45" s="52" t="n">
        <v>0.0785</v>
      </c>
      <c r="K45" s="52" t="n">
        <v>0.094</v>
      </c>
      <c r="L45" s="52" t="n">
        <f aca="false">K45-J45</f>
        <v>0.0155</v>
      </c>
    </row>
    <row r="46" customFormat="false" ht="12.8" hidden="false" customHeight="false" outlineLevel="0" collapsed="false">
      <c r="A46" s="54" t="n">
        <v>1997</v>
      </c>
      <c r="B46" s="55" t="n">
        <v>49.4219</v>
      </c>
      <c r="C46" s="56" t="n">
        <f aca="false">B46/12</f>
        <v>4.11849166666667</v>
      </c>
      <c r="D46" s="0" t="n">
        <f aca="false">C46/$C$29</f>
        <v>0.889467006218111</v>
      </c>
      <c r="E46" s="57" t="n">
        <f aca="false">(C46-C47)/C47</f>
        <v>0.00541749058093064</v>
      </c>
      <c r="F46" s="58" t="n">
        <v>2091.60051649727</v>
      </c>
      <c r="G46" s="59" t="n">
        <f aca="false">(F46-F47)/F47</f>
        <v>0.0212893146959325</v>
      </c>
      <c r="H46" s="60" t="n">
        <v>0.0519848771266568</v>
      </c>
      <c r="I46" s="59" t="n">
        <f aca="false">E46-H46</f>
        <v>-0.0465673865457262</v>
      </c>
      <c r="J46" s="60" t="n">
        <v>0.0785</v>
      </c>
      <c r="K46" s="60" t="n">
        <v>0.0915</v>
      </c>
      <c r="L46" s="60" t="n">
        <f aca="false">K46-J46</f>
        <v>0.013</v>
      </c>
    </row>
    <row r="47" customFormat="false" ht="12.8" hidden="false" customHeight="false" outlineLevel="0" collapsed="false">
      <c r="A47" s="45" t="n">
        <v>1996</v>
      </c>
      <c r="B47" s="46" t="n">
        <v>49.1556</v>
      </c>
      <c r="C47" s="47" t="n">
        <f aca="false">B47/12</f>
        <v>4.0963</v>
      </c>
      <c r="D47" s="48" t="n">
        <f aca="false">C47/$C$29</f>
        <v>0.884674291576305</v>
      </c>
      <c r="E47" s="49" t="n">
        <f aca="false">(C47-C48)/C48</f>
        <v>0.0116360912282724</v>
      </c>
      <c r="F47" s="50" t="n">
        <v>2048</v>
      </c>
      <c r="G47" s="51" t="n">
        <f aca="false">(F47-F48)/F48</f>
        <v>0.0338213023725391</v>
      </c>
      <c r="H47" s="52" t="n">
        <v>0.056415376934597</v>
      </c>
      <c r="I47" s="51" t="n">
        <f aca="false">E47-H47</f>
        <v>-0.0447792857063246</v>
      </c>
      <c r="J47" s="52" t="n">
        <v>0.0785</v>
      </c>
      <c r="K47" s="52" t="n">
        <v>0.089</v>
      </c>
      <c r="L47" s="52" t="n">
        <f aca="false">K47-J47</f>
        <v>0.0105</v>
      </c>
    </row>
    <row r="48" customFormat="false" ht="12.8" hidden="false" customHeight="false" outlineLevel="0" collapsed="false">
      <c r="A48" s="54" t="n">
        <v>1995</v>
      </c>
      <c r="B48" s="55" t="n">
        <v>48.5902</v>
      </c>
      <c r="C48" s="56" t="n">
        <f aca="false">B48/12</f>
        <v>4.04918333333333</v>
      </c>
      <c r="D48" s="0" t="n">
        <f aca="false">C48/$C$29</f>
        <v>0.874498546707821</v>
      </c>
      <c r="E48" s="57" t="n">
        <f aca="false">(C48-C49)/C49</f>
        <v>0.0275289500173404</v>
      </c>
      <c r="F48" s="58" t="n">
        <v>1981</v>
      </c>
      <c r="G48" s="59" t="n">
        <f aca="false">(F48-F49)/F49</f>
        <v>0.0185089974293059</v>
      </c>
      <c r="H48" s="60" t="n">
        <v>0.026127049180328</v>
      </c>
      <c r="I48" s="59" t="n">
        <f aca="false">E48-H48</f>
        <v>0.00140190083701244</v>
      </c>
      <c r="J48" s="60" t="n">
        <v>0.0785</v>
      </c>
      <c r="K48" s="60" t="n">
        <v>0.088</v>
      </c>
      <c r="L48" s="60" t="n">
        <f aca="false">K48-J48</f>
        <v>0.0095</v>
      </c>
    </row>
    <row r="49" customFormat="false" ht="12.8" hidden="false" customHeight="false" outlineLevel="0" collapsed="false">
      <c r="A49" s="45" t="n">
        <v>1994</v>
      </c>
      <c r="B49" s="46" t="n">
        <f aca="false">B48/(1+$E$48)</f>
        <v>47.2884</v>
      </c>
      <c r="C49" s="47" t="n">
        <v>3.9407</v>
      </c>
      <c r="D49" s="48" t="n">
        <f aca="false">C49/$C$29</f>
        <v>0.85106949706192</v>
      </c>
      <c r="E49" s="49" t="n">
        <f aca="false">(C49-C50)/C50</f>
        <v>0.0114473447806781</v>
      </c>
      <c r="F49" s="50" t="n">
        <v>1945</v>
      </c>
      <c r="G49" s="51" t="n">
        <f aca="false">(F49-F50)/F50</f>
        <v>0.0215336134453781</v>
      </c>
      <c r="H49" s="52" t="n">
        <v>0.0124481327800836</v>
      </c>
      <c r="I49" s="51" t="n">
        <f aca="false">E49-H49</f>
        <v>-0.00100078799940549</v>
      </c>
      <c r="J49" s="52" t="n">
        <v>0.0785</v>
      </c>
      <c r="K49" s="52" t="n">
        <v>0.088</v>
      </c>
      <c r="L49" s="52" t="n">
        <f aca="false">K49-J49</f>
        <v>0.0095</v>
      </c>
    </row>
    <row r="50" customFormat="false" ht="12.8" hidden="false" customHeight="false" outlineLevel="0" collapsed="false">
      <c r="A50" s="54" t="n">
        <v>1993</v>
      </c>
      <c r="B50" s="55" t="n">
        <f aca="false">B49/(1+$E$48)</f>
        <v>46.0214770583369</v>
      </c>
      <c r="C50" s="56" t="n">
        <v>3.8961</v>
      </c>
      <c r="D50" s="0" t="n">
        <f aca="false">C50/$C$29</f>
        <v>0.841437274469751</v>
      </c>
      <c r="E50" s="57" t="n">
        <f aca="false">(C50-C51)/C51</f>
        <v>0.0272628997811586</v>
      </c>
      <c r="F50" s="58" t="n">
        <v>1904</v>
      </c>
      <c r="G50" s="59" t="n">
        <f aca="false">(F50-F51)/F51</f>
        <v>0.0398689240851993</v>
      </c>
      <c r="H50" s="60" t="n">
        <v>0.00260010400415987</v>
      </c>
      <c r="I50" s="59" t="n">
        <f aca="false">E50-H50</f>
        <v>0.0246627957769987</v>
      </c>
      <c r="J50" s="60" t="n">
        <v>0.0785</v>
      </c>
      <c r="K50" s="60" t="n">
        <v>0.088</v>
      </c>
      <c r="L50" s="60" t="n">
        <f aca="false">K50-J50</f>
        <v>0.0095</v>
      </c>
    </row>
    <row r="51" customFormat="false" ht="12.8" hidden="false" customHeight="false" outlineLevel="0" collapsed="false">
      <c r="A51" s="45" t="n">
        <v>1992</v>
      </c>
      <c r="B51" s="46" t="n">
        <f aca="false">B50/(1+$E$48)</f>
        <v>44.7884967694197</v>
      </c>
      <c r="C51" s="47" t="n">
        <v>3.7927</v>
      </c>
      <c r="D51" s="48" t="n">
        <f aca="false">C51/$C$29</f>
        <v>0.8191060678323</v>
      </c>
      <c r="E51" s="49" t="n">
        <f aca="false">(C51-C52)/C52</f>
        <v>0.0265522654685216</v>
      </c>
      <c r="F51" s="50" t="n">
        <v>1831</v>
      </c>
      <c r="G51" s="51" t="n">
        <f aca="false">(F51-F52)/F52</f>
        <v>0.0456881781838949</v>
      </c>
      <c r="H51" s="52" t="n">
        <v>0.0228723404255297</v>
      </c>
      <c r="I51" s="51" t="n">
        <f aca="false">E51-H51</f>
        <v>0.00367992504299195</v>
      </c>
      <c r="J51" s="52" t="n">
        <v>0.0785</v>
      </c>
      <c r="K51" s="52" t="n">
        <v>0.0855</v>
      </c>
      <c r="L51" s="52" t="n">
        <f aca="false">K51-J51</f>
        <v>0.00700000000000001</v>
      </c>
    </row>
    <row r="52" customFormat="false" ht="12.8" hidden="false" customHeight="false" outlineLevel="0" collapsed="false">
      <c r="A52" s="54" t="n">
        <v>1991</v>
      </c>
      <c r="B52" s="55" t="n">
        <f aca="false">B51/(1+$E$48)</f>
        <v>43.5885497617015</v>
      </c>
      <c r="C52" s="56" t="n">
        <v>3.6946</v>
      </c>
      <c r="D52" s="0" t="n">
        <f aca="false">C52/$C$29</f>
        <v>0.797919497511856</v>
      </c>
      <c r="E52" s="57" t="n">
        <f aca="false">(C52-C53)/C53</f>
        <v>0.0184975878704342</v>
      </c>
      <c r="F52" s="58" t="n">
        <v>1751</v>
      </c>
      <c r="G52" s="59" t="n">
        <f aca="false">(F52-F53)/F53</f>
        <v>0.0516516516516517</v>
      </c>
      <c r="H52" s="60" t="n">
        <v>0.032399780340475</v>
      </c>
      <c r="I52" s="59" t="n">
        <f aca="false">E52-H52</f>
        <v>-0.0139021924700408</v>
      </c>
      <c r="J52" s="60" t="n">
        <v>0.0785</v>
      </c>
      <c r="K52" s="60" t="n">
        <v>0.0855</v>
      </c>
      <c r="L52" s="60" t="n">
        <f aca="false">K52-J52</f>
        <v>0.00700000000000001</v>
      </c>
    </row>
    <row r="53" customFormat="false" ht="12.8" hidden="false" customHeight="false" outlineLevel="0" collapsed="false">
      <c r="A53" s="45" t="n">
        <v>1990</v>
      </c>
      <c r="B53" s="46" t="n">
        <f aca="false">B52/(1+$E$48)</f>
        <v>42.4207510269817</v>
      </c>
      <c r="C53" s="47" t="n">
        <v>3.6275</v>
      </c>
      <c r="D53" s="48" t="n">
        <f aca="false">C53/$C$29</f>
        <v>0.783427969800319</v>
      </c>
      <c r="E53" s="49" t="n">
        <f aca="false">(C53-C54)/C54</f>
        <v>0.0248043619515778</v>
      </c>
      <c r="F53" s="50" t="n">
        <v>1665</v>
      </c>
      <c r="G53" s="51" t="n">
        <f aca="false">(F53-F54)/F54</f>
        <v>0.0458542713567839</v>
      </c>
      <c r="H53" s="52" t="n">
        <v>0.0459506031016665</v>
      </c>
      <c r="I53" s="51" t="n">
        <f aca="false">E53-H53</f>
        <v>-0.0211462411500887</v>
      </c>
      <c r="J53" s="52" t="n">
        <v>0.089</v>
      </c>
      <c r="K53" s="52" t="n">
        <v>0.0855</v>
      </c>
      <c r="L53" s="52" t="n">
        <f aca="false">K53-J53</f>
        <v>-0.0035</v>
      </c>
    </row>
    <row r="54" customFormat="false" ht="12.8" hidden="false" customHeight="false" outlineLevel="0" collapsed="false">
      <c r="A54" s="54" t="n">
        <v>1989</v>
      </c>
      <c r="B54" s="55" t="n">
        <f aca="false">B53/(1+$E$48)</f>
        <v>41.2842392676778</v>
      </c>
      <c r="C54" s="56" t="n">
        <v>3.5397</v>
      </c>
      <c r="D54" s="0" t="n">
        <f aca="false">C54/$C$29</f>
        <v>0.764465881378963</v>
      </c>
      <c r="E54" s="57" t="n">
        <f aca="false">(C54-C55)/C55</f>
        <v>0.0207041725539951</v>
      </c>
      <c r="F54" s="58" t="n">
        <v>1592</v>
      </c>
      <c r="G54" s="59" t="n">
        <f aca="false">(F54-F55)/F55</f>
        <v>0.0412034009156311</v>
      </c>
      <c r="H54" s="60" t="n">
        <v>0.0437649880095886</v>
      </c>
      <c r="I54" s="59" t="n">
        <f aca="false">E54-H54</f>
        <v>-0.0230608154555935</v>
      </c>
      <c r="J54" s="60" t="n">
        <v>0.089</v>
      </c>
      <c r="K54" s="60" t="n">
        <v>0.096</v>
      </c>
      <c r="L54" s="60" t="n">
        <f aca="false">K54-J54</f>
        <v>0.00699999999999999</v>
      </c>
    </row>
    <row r="55" customFormat="false" ht="12.8" hidden="false" customHeight="false" outlineLevel="0" collapsed="false">
      <c r="A55" s="45" t="n">
        <v>1988</v>
      </c>
      <c r="B55" s="46" t="n">
        <f aca="false">B54/(1+$E$48)</f>
        <v>40.1781762615848</v>
      </c>
      <c r="C55" s="47" t="n">
        <v>3.4679</v>
      </c>
      <c r="D55" s="48" t="n">
        <f aca="false">C55/$C$29</f>
        <v>0.748959298820269</v>
      </c>
      <c r="E55" s="49" t="n">
        <f aca="false">(C55-C56)/C56</f>
        <v>0.0201506148143791</v>
      </c>
      <c r="F55" s="50" t="n">
        <v>1529</v>
      </c>
      <c r="G55" s="51" t="n">
        <f aca="false">(F55-F56)/F56</f>
        <v>0.0303234501347709</v>
      </c>
      <c r="H55" s="52" t="n">
        <v>0.0411985018726629</v>
      </c>
      <c r="I55" s="51" t="n">
        <f aca="false">E55-H55</f>
        <v>-0.0210478870582838</v>
      </c>
      <c r="J55" s="52" t="n">
        <v>0.079</v>
      </c>
      <c r="K55" s="52" t="n">
        <v>0.0952</v>
      </c>
      <c r="L55" s="52" t="n">
        <f aca="false">K55-J55</f>
        <v>0.0162</v>
      </c>
    </row>
    <row r="56" customFormat="false" ht="12.8" hidden="false" customHeight="false" outlineLevel="0" collapsed="false">
      <c r="A56" s="54" t="n">
        <v>1987</v>
      </c>
      <c r="B56" s="55" t="n">
        <f aca="false">B55/(1+$E$48)</f>
        <v>39.1017462436525</v>
      </c>
      <c r="C56" s="56" t="n">
        <v>3.3994</v>
      </c>
      <c r="D56" s="0" t="n">
        <f aca="false">C56/$C$29</f>
        <v>0.734165414345749</v>
      </c>
      <c r="E56" s="57" t="n">
        <f aca="false">(C56-C57)/C57</f>
        <v>0.0125096801096086</v>
      </c>
      <c r="F56" s="58" t="n">
        <v>1484</v>
      </c>
      <c r="G56" s="59" t="n">
        <f aca="false">(F56-F57)/F57</f>
        <v>0.0414035087719298</v>
      </c>
      <c r="H56" s="60" t="n">
        <v>0.026923076923076</v>
      </c>
      <c r="I56" s="59" t="n">
        <f aca="false">E56-H56</f>
        <v>-0.0144133968134674</v>
      </c>
      <c r="J56" s="60" t="n">
        <v>0.079</v>
      </c>
      <c r="K56" s="60" t="n">
        <v>0.0848</v>
      </c>
      <c r="L56" s="60" t="n">
        <f aca="false">K56-J56</f>
        <v>0.0058</v>
      </c>
    </row>
    <row r="57" customFormat="false" ht="12.8" hidden="false" customHeight="false" outlineLevel="0" collapsed="false">
      <c r="A57" s="45" t="n">
        <v>1986</v>
      </c>
      <c r="B57" s="46" t="n">
        <f aca="false">B56/(1+$E$48)</f>
        <v>38.0541553043276</v>
      </c>
      <c r="C57" s="47" t="n">
        <v>3.3574</v>
      </c>
      <c r="D57" s="48" t="n">
        <f aca="false">C57/$C$29</f>
        <v>0.725094711456262</v>
      </c>
      <c r="E57" s="49" t="n">
        <f aca="false">(C57-C58)/C58</f>
        <v>0.0207345251124894</v>
      </c>
      <c r="F57" s="50" t="n">
        <v>1425</v>
      </c>
      <c r="G57" s="51" t="n">
        <f aca="false">(F57-F58)/F58</f>
        <v>0.0532150776053215</v>
      </c>
      <c r="H57" s="52" t="n">
        <v>0.0526315789473683</v>
      </c>
      <c r="I57" s="51" t="n">
        <f aca="false">E57-H57</f>
        <v>-0.0318970538348789</v>
      </c>
      <c r="J57" s="52" t="n">
        <v>0.077</v>
      </c>
      <c r="K57" s="52" t="n">
        <v>0.0828</v>
      </c>
      <c r="L57" s="52" t="n">
        <f aca="false">K57-J57</f>
        <v>0.0058</v>
      </c>
    </row>
    <row r="58" customFormat="false" ht="12.8" hidden="false" customHeight="false" outlineLevel="0" collapsed="false">
      <c r="A58" s="54" t="n">
        <v>1985</v>
      </c>
      <c r="B58" s="55" t="n">
        <f aca="false">B57/(1+$E$48)</f>
        <v>37.0346308040133</v>
      </c>
      <c r="C58" s="56" t="n">
        <v>3.2892</v>
      </c>
      <c r="D58" s="0" t="n">
        <f aca="false">C58/$C$29</f>
        <v>0.710365617716667</v>
      </c>
      <c r="E58" s="57" t="n">
        <f aca="false">(C58-C59)/C59</f>
        <v>0.0431638704766737</v>
      </c>
      <c r="F58" s="58" t="n">
        <v>1353</v>
      </c>
      <c r="G58" s="59" t="n">
        <f aca="false">(F58-F59)/F59</f>
        <v>0.0695652173913043</v>
      </c>
      <c r="H58" s="60" t="n">
        <v>0.0677233429394784</v>
      </c>
      <c r="I58" s="59" t="n">
        <f aca="false">E58-H58</f>
        <v>-0.0245594724628047</v>
      </c>
      <c r="J58" s="60" t="n">
        <v>0.07</v>
      </c>
      <c r="K58" s="60" t="n">
        <v>0.0828</v>
      </c>
      <c r="L58" s="60" t="n">
        <f aca="false">K58-J58</f>
        <v>0.0128</v>
      </c>
    </row>
    <row r="59" customFormat="false" ht="12.8" hidden="false" customHeight="false" outlineLevel="0" collapsed="false">
      <c r="A59" s="45" t="n">
        <v>1984</v>
      </c>
      <c r="B59" s="46" t="n">
        <f aca="false">B58/(1+$E$48)</f>
        <v>36.0424208032175</v>
      </c>
      <c r="C59" s="47" t="n">
        <v>3.1531</v>
      </c>
      <c r="D59" s="48" t="n">
        <f aca="false">C59/$C$29</f>
        <v>0.680972220972401</v>
      </c>
      <c r="E59" s="49" t="n">
        <f aca="false">(C59-C60)/C60</f>
        <v>0.0898689986519651</v>
      </c>
      <c r="F59" s="50" t="n">
        <v>1265</v>
      </c>
      <c r="G59" s="51" t="n">
        <f aca="false">(F59-F60)/F60</f>
        <v>0.0858369098712446</v>
      </c>
      <c r="H59" s="52" t="n">
        <v>0.061973986228007</v>
      </c>
      <c r="I59" s="51" t="n">
        <f aca="false">E59-H59</f>
        <v>0.0278950124239581</v>
      </c>
      <c r="J59" s="52" t="n">
        <v>0.07</v>
      </c>
      <c r="K59" s="52" t="n">
        <v>0.0758</v>
      </c>
      <c r="L59" s="52" t="n">
        <f aca="false">K59-J59</f>
        <v>0.0058</v>
      </c>
    </row>
    <row r="60" customFormat="false" ht="12.8" hidden="false" customHeight="false" outlineLevel="0" collapsed="false">
      <c r="A60" s="54" t="n">
        <v>1983</v>
      </c>
      <c r="B60" s="55" t="n">
        <f aca="false">B59/(1+$E$48)</f>
        <v>35.0767935079681</v>
      </c>
      <c r="C60" s="56" t="n">
        <v>2.8931</v>
      </c>
      <c r="D60" s="0" t="n">
        <f aca="false">C60/$C$29</f>
        <v>0.624820250704149</v>
      </c>
      <c r="E60" s="57" t="n">
        <f aca="false">(C60-C61)/C61</f>
        <v>0.0909125188536953</v>
      </c>
      <c r="F60" s="58" t="n">
        <v>1165</v>
      </c>
      <c r="G60" s="59" t="n">
        <f aca="false">(F60-F61)/F61</f>
        <v>0.118042226487524</v>
      </c>
      <c r="H60" s="60" t="n">
        <v>0.109507640067912</v>
      </c>
      <c r="I60" s="59" t="n">
        <f aca="false">E60-H60</f>
        <v>-0.0185951212142167</v>
      </c>
      <c r="J60" s="60" t="n">
        <v>0.06</v>
      </c>
      <c r="K60" s="60" t="n">
        <v>0.0754</v>
      </c>
      <c r="L60" s="60" t="n">
        <f aca="false">K60-J60</f>
        <v>0.0154</v>
      </c>
    </row>
    <row r="61" customFormat="false" ht="12.8" hidden="false" customHeight="false" outlineLevel="0" collapsed="false">
      <c r="A61" s="45" t="n">
        <v>1982</v>
      </c>
      <c r="B61" s="46" t="n">
        <f aca="false">B60/(1+$E$48)</f>
        <v>34.1370367300855</v>
      </c>
      <c r="C61" s="47" t="n">
        <v>2.652</v>
      </c>
      <c r="D61" s="48" t="n">
        <f aca="false">C61/$C$29</f>
        <v>0.572750096736167</v>
      </c>
      <c r="E61" s="49" t="n">
        <f aca="false">(C61-C62)/C62</f>
        <v>0.125493358231125</v>
      </c>
      <c r="F61" s="50" t="n">
        <v>1042</v>
      </c>
      <c r="G61" s="51" t="n">
        <f aca="false">(F61-F62)/F62</f>
        <v>0.192857232111692</v>
      </c>
      <c r="H61" s="52" t="n">
        <v>0.111320754716979</v>
      </c>
      <c r="I61" s="51" t="n">
        <f aca="false">E61-H61</f>
        <v>0.0141726035141461</v>
      </c>
      <c r="J61" s="52" t="n">
        <v>0.06</v>
      </c>
      <c r="K61" s="52" t="n">
        <v>0.0746</v>
      </c>
      <c r="L61" s="52" t="n">
        <f aca="false">K61-J61</f>
        <v>0.0146</v>
      </c>
    </row>
    <row r="62" customFormat="false" ht="12.8" hidden="false" customHeight="false" outlineLevel="0" collapsed="false">
      <c r="A62" s="54" t="n">
        <v>1981</v>
      </c>
      <c r="B62" s="55" t="n">
        <f aca="false">B61/(1+$E$48)</f>
        <v>33.2224573619161</v>
      </c>
      <c r="C62" s="56" t="n">
        <v>2.3563</v>
      </c>
      <c r="D62" s="0" t="n">
        <f aca="false">C62/$C$29</f>
        <v>0.508888029011851</v>
      </c>
      <c r="E62" s="57" t="n">
        <f aca="false">(C62-C63)/C63</f>
        <v>0.139520263081536</v>
      </c>
      <c r="F62" s="58" t="n">
        <v>873.532868770362</v>
      </c>
      <c r="G62" s="59" t="n">
        <f aca="false">(F62-F63)/F63</f>
        <v>0.1437125748503</v>
      </c>
      <c r="H62" s="60" t="n">
        <v>0.125265392781313</v>
      </c>
      <c r="I62" s="59" t="n">
        <f aca="false">E62-H62</f>
        <v>0.0142548703002229</v>
      </c>
      <c r="J62" s="60" t="n">
        <v>0.06</v>
      </c>
      <c r="K62" s="60" t="n">
        <v>0.0746</v>
      </c>
      <c r="L62" s="60" t="n">
        <f aca="false">K62-J62</f>
        <v>0.0146</v>
      </c>
    </row>
    <row r="63" customFormat="false" ht="12.8" hidden="false" customHeight="false" outlineLevel="0" collapsed="false">
      <c r="A63" s="45" t="n">
        <v>1980</v>
      </c>
      <c r="B63" s="46" t="n">
        <f aca="false">B62/(1+$E$48)</f>
        <v>32.3323808651381</v>
      </c>
      <c r="C63" s="47" t="n">
        <v>2.0678</v>
      </c>
      <c r="D63" s="48" t="n">
        <f aca="false">C63/$C$29</f>
        <v>0.446580938925734</v>
      </c>
      <c r="E63" s="49" t="n">
        <f aca="false">(C63-C64)/C64</f>
        <v>0.143884494108536</v>
      </c>
      <c r="F63" s="50" t="n">
        <v>763.769576359426</v>
      </c>
      <c r="G63" s="51" t="n">
        <f aca="false">(F63-F64)/F64</f>
        <v>0.120805369127517</v>
      </c>
      <c r="H63" s="52" t="n">
        <v>0.136308805790114</v>
      </c>
      <c r="I63" s="51" t="n">
        <f aca="false">E63-H63</f>
        <v>0.0075756883184217</v>
      </c>
      <c r="J63" s="52" t="n">
        <v>0.06</v>
      </c>
      <c r="K63" s="52" t="n">
        <v>0.0746</v>
      </c>
      <c r="L63" s="52" t="n">
        <f aca="false">K63-J63</f>
        <v>0.0146</v>
      </c>
    </row>
    <row r="64" customFormat="false" ht="12.8" hidden="false" customHeight="false" outlineLevel="0" collapsed="false">
      <c r="A64" s="54" t="n">
        <v>1979</v>
      </c>
      <c r="B64" s="55" t="n">
        <f aca="false">B63/(1+$E$48)</f>
        <v>31.4661507732628</v>
      </c>
      <c r="C64" s="56" t="n">
        <v>1.8077</v>
      </c>
      <c r="D64" s="0" t="n">
        <f aca="false">C64/$C$29</f>
        <v>0.39040737174584</v>
      </c>
      <c r="E64" s="57" t="n">
        <f aca="false">(C64-C65)/C65</f>
        <v>0.108066691185485</v>
      </c>
      <c r="F64" s="58" t="n">
        <v>681.447107051224</v>
      </c>
      <c r="G64" s="59" t="n">
        <f aca="false">(F64-F65)/F65</f>
        <v>0.117499999999998</v>
      </c>
      <c r="H64" s="60" t="n">
        <v>0.117250673854441</v>
      </c>
      <c r="I64" s="59" t="n">
        <f aca="false">E64-H64</f>
        <v>-0.00918398266895622</v>
      </c>
      <c r="J64" s="60" t="n">
        <v>0.06</v>
      </c>
      <c r="K64" s="60" t="n">
        <v>0.0646</v>
      </c>
      <c r="L64" s="60" t="n">
        <f aca="false">K64-J64</f>
        <v>0.00460000000000001</v>
      </c>
    </row>
    <row r="65" customFormat="false" ht="12.8" hidden="false" customHeight="false" outlineLevel="0" collapsed="false">
      <c r="A65" s="45" t="n">
        <v>1978</v>
      </c>
      <c r="B65" s="46" t="n">
        <f aca="false">B64/(1+$E$48)</f>
        <v>30.6231282074649</v>
      </c>
      <c r="C65" s="47" t="n">
        <v>1.6314</v>
      </c>
      <c r="D65" s="48" t="n">
        <f aca="false">C65/$C$29</f>
        <v>0.352332016521637</v>
      </c>
      <c r="E65" s="49" t="n">
        <f aca="false">(C65-C66)/C66</f>
        <v>0.104386677497969</v>
      </c>
      <c r="F65" s="50" t="n">
        <v>609.796068949642</v>
      </c>
      <c r="G65" s="51" t="n">
        <f aca="false">(F65-F66)/F66</f>
        <v>0.10803324099723</v>
      </c>
      <c r="H65" s="52" t="n">
        <v>0.100890207715134</v>
      </c>
      <c r="I65" s="51" t="n">
        <f aca="false">E65-H65</f>
        <v>0.0034964697828352</v>
      </c>
      <c r="J65" s="52" t="n">
        <v>0.06</v>
      </c>
      <c r="K65" s="52" t="n">
        <v>0.0646</v>
      </c>
      <c r="L65" s="52" t="n">
        <f aca="false">K65-J65</f>
        <v>0.00460000000000001</v>
      </c>
    </row>
    <row r="66" customFormat="false" ht="12.8" hidden="false" customHeight="false" outlineLevel="0" collapsed="false">
      <c r="A66" s="54" t="n">
        <v>1977</v>
      </c>
      <c r="B66" s="55" t="n">
        <f aca="false">B65/(1+$E$48)</f>
        <v>29.8026914053839</v>
      </c>
      <c r="C66" s="56" t="n">
        <v>1.4772</v>
      </c>
      <c r="D66" s="0" t="n">
        <f aca="false">C66/$C$29</f>
        <v>0.319029578770236</v>
      </c>
      <c r="E66" s="57" t="n">
        <f aca="false">(C66-C67)/C67</f>
        <v>0.0975555390445055</v>
      </c>
      <c r="F66" s="58" t="n">
        <v>550.340952227052</v>
      </c>
      <c r="G66" s="59" t="n">
        <f aca="false">(F66-F67)/F67</f>
        <v>0.14240506329114</v>
      </c>
      <c r="H66" s="60" t="n">
        <v>0.101307189542487</v>
      </c>
      <c r="I66" s="59" t="n">
        <f aca="false">E66-H66</f>
        <v>-0.0037516504979815</v>
      </c>
      <c r="J66" s="60" t="n">
        <v>0.06</v>
      </c>
      <c r="K66" s="60" t="n">
        <v>0.0646</v>
      </c>
      <c r="L66" s="60" t="n">
        <f aca="false">K66-J66</f>
        <v>0.00460000000000001</v>
      </c>
    </row>
    <row r="67" customFormat="false" ht="12.8" hidden="false" customHeight="false" outlineLevel="0" collapsed="false">
      <c r="A67" s="45" t="n">
        <v>1976</v>
      </c>
      <c r="B67" s="46" t="n">
        <f aca="false">B66/(1+$E$48)</f>
        <v>29.00423526255</v>
      </c>
      <c r="C67" s="47" t="n">
        <v>1.3459</v>
      </c>
      <c r="D67" s="48" t="n">
        <f aca="false">C67/$C$29</f>
        <v>0.290672833784769</v>
      </c>
      <c r="E67" s="49" t="n">
        <f aca="false">(C67-C68)/C68</f>
        <v>0.108649093904448</v>
      </c>
      <c r="F67" s="50" t="n">
        <v>481.738894470217</v>
      </c>
      <c r="G67" s="51" t="n">
        <f aca="false">(F67-F68)/F68</f>
        <v>0.149090909090908</v>
      </c>
      <c r="H67" s="52" t="n">
        <v>0.104693140794224</v>
      </c>
      <c r="I67" s="51" t="n">
        <f aca="false">E67-H67</f>
        <v>0.0039559531102242</v>
      </c>
      <c r="J67" s="52" t="n">
        <v>0.06</v>
      </c>
      <c r="K67" s="52" t="n">
        <v>0.0501</v>
      </c>
      <c r="L67" s="52" t="n">
        <f aca="false">K67-J67</f>
        <v>-0.00989999999999999</v>
      </c>
    </row>
    <row r="68" customFormat="false" ht="12.8" hidden="false" customHeight="false" outlineLevel="0" collapsed="false">
      <c r="A68" s="54" t="n">
        <v>1975</v>
      </c>
      <c r="B68" s="55" t="n">
        <f aca="false">B67/(1+$E$48)</f>
        <v>28.2271708860957</v>
      </c>
      <c r="C68" s="56" t="n">
        <v>1.214</v>
      </c>
      <c r="D68" s="0" t="n">
        <f aca="false">C68/$C$29</f>
        <v>0.262186507329452</v>
      </c>
      <c r="E68" s="57" t="n">
        <f aca="false">(C68-C69)/C69</f>
        <v>0.132251445625816</v>
      </c>
      <c r="F68" s="58" t="n">
        <v>419.234797402879</v>
      </c>
      <c r="G68" s="59" t="n">
        <f aca="false">(F68-F69)/F69</f>
        <v>0.185344827586209</v>
      </c>
      <c r="H68" s="60" t="n">
        <v>0.151767151767152</v>
      </c>
      <c r="I68" s="59" t="n">
        <f aca="false">E68-H68</f>
        <v>-0.019515706141336</v>
      </c>
      <c r="J68" s="60" t="n">
        <v>0.06</v>
      </c>
      <c r="K68" s="60" t="n">
        <v>0.0501</v>
      </c>
      <c r="L68" s="60" t="n">
        <f aca="false">K68-J68</f>
        <v>-0.00989999999999999</v>
      </c>
    </row>
    <row r="69" customFormat="false" ht="12.8" hidden="false" customHeight="false" outlineLevel="0" collapsed="false">
      <c r="A69" s="45" t="n">
        <v>1974</v>
      </c>
      <c r="B69" s="46" t="n">
        <f aca="false">B68/(1+$E$48)</f>
        <v>27.4709251604243</v>
      </c>
      <c r="C69" s="47" t="n">
        <v>1.0722</v>
      </c>
      <c r="D69" s="48" t="n">
        <f aca="false">C69/$C$29</f>
        <v>0.231562086621613</v>
      </c>
      <c r="E69" s="49" t="n">
        <f aca="false">(C69-C70)/C70</f>
        <v>0.138700084961767</v>
      </c>
      <c r="F69" s="50" t="n">
        <v>353.681719990792</v>
      </c>
      <c r="G69" s="51" t="n">
        <f aca="false">(F69-F70)/F70</f>
        <v>0.137254901960785</v>
      </c>
      <c r="H69" s="52" t="n">
        <v>0.1318</v>
      </c>
      <c r="I69" s="51" t="n">
        <f aca="false">E69-H69</f>
        <v>0.00690008496176725</v>
      </c>
      <c r="J69" s="52" t="n">
        <v>0.06</v>
      </c>
      <c r="K69" s="52" t="n">
        <v>0.0476</v>
      </c>
      <c r="L69" s="52" t="n">
        <f aca="false">K69-J69</f>
        <v>-0.0124</v>
      </c>
    </row>
    <row r="70" customFormat="false" ht="12.8" hidden="false" customHeight="false" outlineLevel="0" collapsed="false">
      <c r="A70" s="54" t="n">
        <v>1973</v>
      </c>
      <c r="B70" s="55" t="n">
        <f aca="false">B69/(1+$E$48)</f>
        <v>26.7349403245142</v>
      </c>
      <c r="C70" s="56" t="n">
        <v>0.9416</v>
      </c>
      <c r="D70" s="0" t="n">
        <f aca="false">C70/$C$29</f>
        <v>0.203356520017637</v>
      </c>
      <c r="E70" s="57" t="n">
        <f aca="false">(C70-C71)/C71</f>
        <v>0.0927236857374956</v>
      </c>
      <c r="F70" s="58" t="n">
        <v>310.995995164317</v>
      </c>
      <c r="G70" s="59" t="n">
        <f aca="false">(F70-F71)/F71</f>
        <v>0.114754098360655</v>
      </c>
      <c r="H70" s="60" t="n">
        <v>0.0954</v>
      </c>
      <c r="I70" s="59" t="n">
        <f aca="false">E70-H70</f>
        <v>-0.00267631426250439</v>
      </c>
      <c r="J70" s="60" t="n">
        <v>0.06</v>
      </c>
      <c r="K70" s="60" t="n">
        <v>0.0472</v>
      </c>
      <c r="L70" s="60" t="n">
        <f aca="false">K70-J70</f>
        <v>-0.0128</v>
      </c>
    </row>
    <row r="71" customFormat="false" ht="12.8" hidden="false" customHeight="false" outlineLevel="0" collapsed="false">
      <c r="A71" s="45" t="n">
        <v>1972</v>
      </c>
      <c r="B71" s="46" t="n">
        <f aca="false">B70/(1+$E$48)</f>
        <v>26.0186735605483</v>
      </c>
      <c r="C71" s="47" t="n">
        <v>0.8617</v>
      </c>
      <c r="D71" s="48" t="n">
        <f aca="false">C71/$C$29</f>
        <v>0.186100587615971</v>
      </c>
      <c r="E71" s="49" t="n">
        <f aca="false">(C71-C72)/C72</f>
        <v>0.0818581293157565</v>
      </c>
      <c r="F71" s="50" t="n">
        <v>278.981701544461</v>
      </c>
      <c r="G71" s="51" t="n">
        <f aca="false">(F71-F72)/F72</f>
        <v>0.10909090909091</v>
      </c>
      <c r="H71" s="52"/>
      <c r="I71" s="51" t="n">
        <f aca="false">E71-H71</f>
        <v>0.0818581293157565</v>
      </c>
      <c r="J71" s="52" t="n">
        <v>0.06</v>
      </c>
      <c r="K71" s="52" t="n">
        <v>0.0468</v>
      </c>
      <c r="L71" s="52" t="n">
        <f aca="false">K71-J71</f>
        <v>-0.0132</v>
      </c>
    </row>
    <row r="72" customFormat="false" ht="12.8" hidden="false" customHeight="false" outlineLevel="0" collapsed="false">
      <c r="A72" s="54" t="n">
        <v>1971</v>
      </c>
      <c r="B72" s="55"/>
      <c r="C72" s="56" t="n">
        <v>0.7965</v>
      </c>
      <c r="D72" s="0" t="n">
        <f aca="false">C72/$C$29</f>
        <v>0.172019401225625</v>
      </c>
      <c r="E72" s="57" t="n">
        <f aca="false">(C72-C73)/C73</f>
        <v>0.0654093097913322</v>
      </c>
      <c r="F72" s="58" t="n">
        <v>251.540878441727</v>
      </c>
      <c r="G72" s="59" t="n">
        <f aca="false">(F72-F73)/F73</f>
        <v>0.0999999999999974</v>
      </c>
      <c r="H72" s="60"/>
      <c r="I72" s="59" t="n">
        <f aca="false">E72-H72</f>
        <v>0.0654093097913322</v>
      </c>
      <c r="J72" s="60" t="n">
        <v>0.06</v>
      </c>
      <c r="K72" s="60" t="n">
        <v>0.0464</v>
      </c>
      <c r="L72" s="60" t="n">
        <f aca="false">K72-J72</f>
        <v>-0.0136</v>
      </c>
    </row>
    <row r="73" customFormat="false" ht="12.8" hidden="false" customHeight="false" outlineLevel="0" collapsed="false">
      <c r="A73" s="45" t="n">
        <v>1970</v>
      </c>
      <c r="B73" s="46"/>
      <c r="C73" s="47" t="n">
        <v>0.7476</v>
      </c>
      <c r="D73" s="48" t="n">
        <f aca="false">C73/$C$29</f>
        <v>0.161458511432865</v>
      </c>
      <c r="E73" s="49"/>
      <c r="F73" s="50" t="n">
        <v>228.673525856116</v>
      </c>
      <c r="G73" s="51" t="n">
        <f aca="false">(F73-F74)/F74</f>
        <v>0.102941176470591</v>
      </c>
      <c r="H73" s="52"/>
      <c r="I73" s="51" t="n">
        <f aca="false">E73-H73</f>
        <v>0</v>
      </c>
      <c r="J73" s="52" t="n">
        <v>0.06</v>
      </c>
      <c r="K73" s="52" t="n">
        <v>0.046</v>
      </c>
      <c r="L73" s="52" t="n">
        <f aca="false">K73-J73</f>
        <v>-0.014</v>
      </c>
    </row>
    <row r="74" customFormat="false" ht="12.8" hidden="false" customHeight="false" outlineLevel="0" collapsed="false">
      <c r="F74" s="62" t="n">
        <v>207.330663442878</v>
      </c>
      <c r="H74" s="4"/>
    </row>
    <row r="82" customFormat="false" ht="12.8" hidden="false" customHeight="false" outlineLevel="0" collapsed="false"/>
    <row r="87" customFormat="false" ht="12.8" hidden="false" customHeight="false" outlineLevel="0" collapsed="false"/>
    <row r="99" customFormat="false" ht="12.8" hidden="false" customHeight="false" outlineLevel="0" collapsed="false"/>
  </sheetData>
  <sheetProtection sheet="true" password="9cd6" objects="true" scenarios="true"/>
  <mergeCells count="4">
    <mergeCell ref="B1:E1"/>
    <mergeCell ref="F1:G1"/>
    <mergeCell ref="H1:I1"/>
    <mergeCell ref="J1:L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73"/>
  <sheetViews>
    <sheetView windowProtection="false"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G66" activeCellId="0" sqref="G66"/>
    </sheetView>
  </sheetViews>
  <sheetFormatPr defaultRowHeight="12.85"/>
  <cols>
    <col collapsed="false" hidden="false" max="1" min="1" style="0" width="11.5204081632653"/>
    <col collapsed="false" hidden="false" max="2" min="2" style="0" width="25.8112244897959"/>
    <col collapsed="false" hidden="false" max="3" min="3" style="0" width="18.0816326530612"/>
    <col collapsed="false" hidden="false" max="4" min="4" style="0" width="30.2091836734694"/>
    <col collapsed="false" hidden="false" max="5" min="5" style="0" width="6.9030612244898"/>
    <col collapsed="false" hidden="false" max="6" min="6" style="0" width="5.9234693877551"/>
    <col collapsed="false" hidden="false" max="7" min="7" style="0" width="16.219387755102"/>
    <col collapsed="false" hidden="false" max="8" min="8" style="0" width="20.3010204081633"/>
    <col collapsed="false" hidden="false" max="9" min="9" style="0" width="19.4591836734694"/>
    <col collapsed="false" hidden="false" max="1025" min="10" style="0" width="11.5204081632653"/>
  </cols>
  <sheetData>
    <row r="1" customFormat="false" ht="12.8" hidden="false" customHeight="false" outlineLevel="0" collapsed="false">
      <c r="A1" s="0" t="s">
        <v>61</v>
      </c>
    </row>
    <row r="2" customFormat="false" ht="13.4" hidden="false" customHeight="false" outlineLevel="0" collapsed="false">
      <c r="A2" s="43" t="s">
        <v>43</v>
      </c>
      <c r="B2" s="43" t="s">
        <v>62</v>
      </c>
      <c r="C2" s="43" t="s">
        <v>46</v>
      </c>
      <c r="D2" s="43" t="s">
        <v>63</v>
      </c>
      <c r="G2" s="43" t="s">
        <v>64</v>
      </c>
      <c r="H2" s="43" t="s">
        <v>65</v>
      </c>
      <c r="I2" s="43" t="s">
        <v>3</v>
      </c>
      <c r="J2" s="63" t="s">
        <v>66</v>
      </c>
      <c r="K2" s="43" t="s">
        <v>5</v>
      </c>
      <c r="L2" s="43" t="s">
        <v>6</v>
      </c>
      <c r="M2" s="43" t="s">
        <v>67</v>
      </c>
      <c r="N2" s="43" t="s">
        <v>68</v>
      </c>
      <c r="O2" s="43" t="s">
        <v>69</v>
      </c>
      <c r="P2" s="43" t="s">
        <v>10</v>
      </c>
    </row>
    <row r="3" customFormat="false" ht="12.8" hidden="false" customHeight="false" outlineLevel="0" collapsed="false">
      <c r="A3" s="64" t="n">
        <v>2040</v>
      </c>
      <c r="B3" s="65" t="n">
        <v>5.3075</v>
      </c>
      <c r="C3" s="66" t="n">
        <f aca="false">('calculs agirc'!B3-'calculs agirc'!B4)/'calculs agirc'!B4</f>
        <v>0</v>
      </c>
      <c r="D3" s="66" t="n">
        <f aca="false">0.16344-'données complémentaires'!L3</f>
        <v>0.16344</v>
      </c>
      <c r="G3" s="0" t="n">
        <v>1</v>
      </c>
      <c r="H3" s="54" t="n">
        <f aca="false">'Grilles et calculs individuels'!$K$74-G3</f>
        <v>2014</v>
      </c>
      <c r="I3" s="67" t="s">
        <v>70</v>
      </c>
      <c r="J3" s="68" t="n">
        <f aca="false">MAX('Grilles et calculs individuels'!D4*VLOOKUP($H3,'données complémentaires'!$A$2:$D$73,4,0)-VLOOKUP($H3,'données complémentaires'!$A$3:$G$73,6,0), 0)*VLOOKUP($H3,$A$3:$D$73,4,0)/VLOOKUP($H3,$A$3:$D$73,2,0)</f>
        <v>62.1186348374941</v>
      </c>
      <c r="K3" s="68" t="n">
        <f aca="false">MAX('Grilles et calculs individuels'!E4*VLOOKUP($H3,'données complémentaires'!$A$2:$D$73,4,0)-VLOOKUP($H3,'données complémentaires'!$A$3:$G$73,6,0), 0)*VLOOKUP($H3,$A$3:$D$73,4,0)/VLOOKUP($H3,$A$3:$D$73,2,0)</f>
        <v>18.4781959114461</v>
      </c>
      <c r="L3" s="68" t="n">
        <f aca="false">MAX('Grilles et calculs individuels'!F4*VLOOKUP($H3,'données complémentaires'!$A$2:$D$73,4,0)-VLOOKUP($H3,'données complémentaires'!$A$3:$G$73,6,0), 0)*VLOOKUP($H3,$A$3:$D$73,4,0)/VLOOKUP($H3,$A$3:$D$73,2,0)</f>
        <v>0</v>
      </c>
      <c r="M3" s="68" t="n">
        <f aca="false">MAX('Grilles et calculs individuels'!G4*VLOOKUP($H3,'données complémentaires'!$A$2:$D$73,4,0)-VLOOKUP($H3,'données complémentaires'!$A$3:$G$73,6,0), 0)*VLOOKUP($H3,$A$3:$D$73,4,0)/VLOOKUP($H3,$A$3:$D$73,2,0)</f>
        <v>0</v>
      </c>
      <c r="N3" s="68" t="n">
        <f aca="false">MAX('Grilles et calculs individuels'!H4*VLOOKUP($H3,'données complémentaires'!$A$2:$D$73,4,0)-VLOOKUP($H3,'données complémentaires'!$A$3:$G$73,6,0), 0)*VLOOKUP($H3,$A$3:$D$73,4,0)/VLOOKUP($H3,$A$3:$D$73,2,0)</f>
        <v>0</v>
      </c>
      <c r="O3" s="68" t="n">
        <f aca="false">MAX('Grilles et calculs individuels'!I4*VLOOKUP($H3,'données complémentaires'!$A$2:$D$73,4,0)-VLOOKUP($H3,'données complémentaires'!$A$3:$G$73,6,0), 0)*VLOOKUP($H3,$A$3:$D$73,4,0)/VLOOKUP($H3,$A$3:$D$73,2,0)</f>
        <v>0</v>
      </c>
      <c r="P3" s="68" t="n">
        <f aca="false">MAX('Grilles et calculs individuels'!J4*VLOOKUP($H3,'données complémentaires'!$A$2:$D$73,4,0)-VLOOKUP($H3,'données complémentaires'!$A$3:$G$73,6,0), 0)*VLOOKUP($H3,$A$3:$D$73,4,0)/VLOOKUP($H3,$A$3:$D$73,2,0)</f>
        <v>0</v>
      </c>
      <c r="Q3" s="23"/>
    </row>
    <row r="4" customFormat="false" ht="12.8" hidden="false" customHeight="false" outlineLevel="0" collapsed="false">
      <c r="A4" s="54" t="n">
        <v>2039</v>
      </c>
      <c r="B4" s="69" t="n">
        <v>5.3075</v>
      </c>
      <c r="C4" s="70" t="n">
        <f aca="false">('calculs agirc'!B4-'calculs agirc'!B5)/'calculs agirc'!B5</f>
        <v>0</v>
      </c>
      <c r="D4" s="70" t="n">
        <f aca="false">0.16344-'données complémentaires'!L4</f>
        <v>0.16344</v>
      </c>
      <c r="G4" s="0" t="n">
        <v>2</v>
      </c>
      <c r="H4" s="54" t="n">
        <f aca="false">'Grilles et calculs individuels'!$K$74-G4</f>
        <v>2013</v>
      </c>
      <c r="I4" s="67" t="s">
        <v>70</v>
      </c>
      <c r="J4" s="68" t="n">
        <f aca="false">MAX('Grilles et calculs individuels'!D5*VLOOKUP($H4,'données complémentaires'!$A$2:$D$73,4,0)-VLOOKUP($H4,'données complémentaires'!$A$3:$G$73,6,0), 0)*VLOOKUP($H4,$A$3:$D$73,4,0)/VLOOKUP($H4,$A$3:$D$73,2,0)</f>
        <v>62.8176086480776</v>
      </c>
      <c r="K4" s="68" t="n">
        <f aca="false">MAX('Grilles et calculs individuels'!E5*VLOOKUP($H4,'données complémentaires'!$A$2:$D$73,4,0)-VLOOKUP($H4,'données complémentaires'!$A$3:$G$73,6,0), 0)*VLOOKUP($H4,$A$3:$D$73,4,0)/VLOOKUP($H4,$A$3:$D$73,2,0)</f>
        <v>19.5098731841678</v>
      </c>
      <c r="L4" s="68" t="n">
        <f aca="false">MAX('Grilles et calculs individuels'!F5*VLOOKUP($H4,'données complémentaires'!$A$2:$D$73,4,0)-VLOOKUP($H4,'données complémentaires'!$A$3:$G$73,6,0), 0)*VLOOKUP($H4,$A$3:$D$73,4,0)/VLOOKUP($H4,$A$3:$D$73,2,0)</f>
        <v>0</v>
      </c>
      <c r="M4" s="67" t="s">
        <v>70</v>
      </c>
      <c r="N4" s="67" t="s">
        <v>70</v>
      </c>
      <c r="O4" s="67" t="s">
        <v>70</v>
      </c>
      <c r="P4" s="68" t="n">
        <f aca="false">MAX('Grilles et calculs individuels'!J5*VLOOKUP($H4,'données complémentaires'!$A$2:$D$73,4,0)-VLOOKUP($H4,'données complémentaires'!$A$3:$G$73,6,0), 0)*VLOOKUP($H4,$A$3:$D$73,4,0)/VLOOKUP($H4,$A$3:$D$73,2,0)</f>
        <v>0</v>
      </c>
      <c r="Q4" s="23"/>
    </row>
    <row r="5" customFormat="false" ht="12.8" hidden="false" customHeight="false" outlineLevel="0" collapsed="false">
      <c r="A5" s="64" t="n">
        <v>2038</v>
      </c>
      <c r="B5" s="65" t="n">
        <v>5.3075</v>
      </c>
      <c r="C5" s="66" t="n">
        <f aca="false">('calculs agirc'!B5-'calculs agirc'!B6)/'calculs agirc'!B6</f>
        <v>0</v>
      </c>
      <c r="D5" s="66" t="n">
        <f aca="false">0.16344-'données complémentaires'!L5</f>
        <v>0.16344</v>
      </c>
      <c r="G5" s="0" t="n">
        <v>3</v>
      </c>
      <c r="H5" s="54" t="n">
        <f aca="false">'Grilles et calculs individuels'!$K$74-G5</f>
        <v>2012</v>
      </c>
      <c r="I5" s="67" t="s">
        <v>70</v>
      </c>
      <c r="J5" s="68" t="n">
        <f aca="false">MAX('Grilles et calculs individuels'!D6*VLOOKUP($H5,'données complémentaires'!$A$2:$D$73,4,0)-VLOOKUP($H5,'données complémentaires'!$A$3:$G$73,6,0), 0)*VLOOKUP($H5,$A$3:$D$73,4,0)/VLOOKUP($H5,$A$3:$D$73,2,0)</f>
        <v>63.7133318859624</v>
      </c>
      <c r="K5" s="68" t="n">
        <f aca="false">MAX('Grilles et calculs individuels'!E6*VLOOKUP($H5,'données complémentaires'!$A$2:$D$73,4,0)-VLOOKUP($H5,'données complémentaires'!$A$3:$G$73,6,0), 0)*VLOOKUP($H5,$A$3:$D$73,4,0)/VLOOKUP($H5,$A$3:$D$73,2,0)</f>
        <v>20.8123302291036</v>
      </c>
      <c r="L5" s="68" t="n">
        <f aca="false">MAX('Grilles et calculs individuels'!F6*VLOOKUP($H5,'données complémentaires'!$A$2:$D$73,4,0)-VLOOKUP($H5,'données complémentaires'!$A$3:$G$73,6,0), 0)*VLOOKUP($H5,$A$3:$D$73,4,0)/VLOOKUP($H5,$A$3:$D$73,2,0)</f>
        <v>0.424906815974405</v>
      </c>
      <c r="M5" s="67" t="s">
        <v>70</v>
      </c>
      <c r="N5" s="67" t="s">
        <v>70</v>
      </c>
      <c r="O5" s="67" t="s">
        <v>70</v>
      </c>
      <c r="P5" s="68" t="n">
        <f aca="false">MAX('Grilles et calculs individuels'!J6*VLOOKUP($H5,'données complémentaires'!$A$2:$D$73,4,0)-VLOOKUP($H5,'données complémentaires'!$A$3:$G$73,6,0), 0)*VLOOKUP($H5,$A$3:$D$73,4,0)/VLOOKUP($H5,$A$3:$D$73,2,0)</f>
        <v>0.424906815974405</v>
      </c>
      <c r="Q5" s="23"/>
    </row>
    <row r="6" customFormat="false" ht="12.8" hidden="false" customHeight="false" outlineLevel="0" collapsed="false">
      <c r="A6" s="54" t="n">
        <v>2037</v>
      </c>
      <c r="B6" s="69" t="n">
        <v>5.3075</v>
      </c>
      <c r="C6" s="70" t="n">
        <f aca="false">('calculs agirc'!B6-'calculs agirc'!B7)/'calculs agirc'!B7</f>
        <v>0</v>
      </c>
      <c r="D6" s="70" t="n">
        <f aca="false">0.16344-'données complémentaires'!L6</f>
        <v>0.16344</v>
      </c>
      <c r="G6" s="0" t="n">
        <v>4</v>
      </c>
      <c r="H6" s="54" t="n">
        <f aca="false">'Grilles et calculs individuels'!$K$74-G6</f>
        <v>2011</v>
      </c>
      <c r="I6" s="67" t="s">
        <v>70</v>
      </c>
      <c r="J6" s="68" t="n">
        <f aca="false">MAX('Grilles et calculs individuels'!D7*VLOOKUP($H6,'données complémentaires'!$A$2:$D$73,4,0)-VLOOKUP($H6,'données complémentaires'!$A$3:$G$73,6,0), 0)*VLOOKUP($H6,$A$3:$D$73,4,0)/VLOOKUP($H6,$A$3:$D$73,2,0)</f>
        <v>65.6382093702535</v>
      </c>
      <c r="K6" s="68" t="n">
        <f aca="false">MAX('Grilles et calculs individuels'!E7*VLOOKUP($H6,'données complémentaires'!$A$2:$D$73,4,0)-VLOOKUP($H6,'données complémentaires'!$A$3:$G$73,6,0), 0)*VLOOKUP($H6,$A$3:$D$73,4,0)/VLOOKUP($H6,$A$3:$D$73,2,0)</f>
        <v>22.9784499357401</v>
      </c>
      <c r="L6" s="68" t="n">
        <f aca="false">MAX('Grilles et calculs individuels'!F7*VLOOKUP($H6,'données complémentaires'!$A$2:$D$73,4,0)-VLOOKUP($H6,'données complémentaires'!$A$3:$G$73,6,0), 0)*VLOOKUP($H6,$A$3:$D$73,4,0)/VLOOKUP($H6,$A$3:$D$73,2,0)</f>
        <v>2.70566970440472</v>
      </c>
      <c r="M6" s="67" t="s">
        <v>70</v>
      </c>
      <c r="N6" s="67" t="s">
        <v>70</v>
      </c>
      <c r="O6" s="67" t="s">
        <v>70</v>
      </c>
      <c r="P6" s="68" t="n">
        <f aca="false">MAX('Grilles et calculs individuels'!J7*VLOOKUP($H6,'données complémentaires'!$A$2:$D$73,4,0)-VLOOKUP($H6,'données complémentaires'!$A$3:$G$73,6,0), 0)*VLOOKUP($H6,$A$3:$D$73,4,0)/VLOOKUP($H6,$A$3:$D$73,2,0)</f>
        <v>2.70566970440472</v>
      </c>
      <c r="Q6" s="23"/>
    </row>
    <row r="7" customFormat="false" ht="12.8" hidden="false" customHeight="false" outlineLevel="0" collapsed="false">
      <c r="A7" s="64" t="n">
        <v>2036</v>
      </c>
      <c r="B7" s="65" t="n">
        <v>5.3075</v>
      </c>
      <c r="C7" s="66" t="n">
        <f aca="false">('calculs agirc'!B7-'calculs agirc'!B8)/'calculs agirc'!B8</f>
        <v>0</v>
      </c>
      <c r="D7" s="66" t="n">
        <f aca="false">0.16344-'données complémentaires'!L7</f>
        <v>0.16344</v>
      </c>
      <c r="G7" s="0" t="n">
        <v>5</v>
      </c>
      <c r="H7" s="54" t="n">
        <f aca="false">'Grilles et calculs individuels'!$K$74-G7</f>
        <v>2010</v>
      </c>
      <c r="I7" s="67" t="s">
        <v>70</v>
      </c>
      <c r="J7" s="68" t="n">
        <f aca="false">MAX('Grilles et calculs individuels'!D8*VLOOKUP($H7,'données complémentaires'!$A$2:$D$73,4,0)-VLOOKUP($H7,'données complémentaires'!$A$3:$G$73,6,0), 0)*VLOOKUP($H7,$A$3:$D$73,4,0)/VLOOKUP($H7,$A$3:$D$73,2,0)</f>
        <v>68.0084798503453</v>
      </c>
      <c r="K7" s="68" t="n">
        <f aca="false">MAX('Grilles et calculs individuels'!E8*VLOOKUP($H7,'données complémentaires'!$A$2:$D$73,4,0)-VLOOKUP($H7,'données complémentaires'!$A$3:$G$73,6,0), 0)*VLOOKUP($H7,$A$3:$D$73,4,0)/VLOOKUP($H7,$A$3:$D$73,2,0)</f>
        <v>24.8847075165675</v>
      </c>
      <c r="L7" s="68" t="n">
        <f aca="false">MAX('Grilles et calculs individuels'!F8*VLOOKUP($H7,'données complémentaires'!$A$2:$D$73,4,0)-VLOOKUP($H7,'données complémentaires'!$A$3:$G$73,6,0), 0)*VLOOKUP($H7,$A$3:$D$73,4,0)/VLOOKUP($H7,$A$3:$D$73,2,0)</f>
        <v>4.39141897351191</v>
      </c>
      <c r="M7" s="67" t="s">
        <v>70</v>
      </c>
      <c r="N7" s="67" t="s">
        <v>70</v>
      </c>
      <c r="O7" s="67" t="s">
        <v>70</v>
      </c>
      <c r="P7" s="68" t="n">
        <f aca="false">MAX('Grilles et calculs individuels'!J8*VLOOKUP($H7,'données complémentaires'!$A$2:$D$73,4,0)-VLOOKUP($H7,'données complémentaires'!$A$3:$G$73,6,0), 0)*VLOOKUP($H7,$A$3:$D$73,4,0)/VLOOKUP($H7,$A$3:$D$73,2,0)</f>
        <v>4.39141897351191</v>
      </c>
      <c r="Q7" s="23"/>
    </row>
    <row r="8" customFormat="false" ht="12.8" hidden="false" customHeight="false" outlineLevel="0" collapsed="false">
      <c r="A8" s="54" t="n">
        <v>2035</v>
      </c>
      <c r="B8" s="69" t="n">
        <v>5.3075</v>
      </c>
      <c r="C8" s="70" t="n">
        <f aca="false">('calculs agirc'!B8-'calculs agirc'!B9)/'calculs agirc'!B9</f>
        <v>0</v>
      </c>
      <c r="D8" s="70" t="n">
        <f aca="false">0.16344-'données complémentaires'!L8</f>
        <v>0.16344</v>
      </c>
      <c r="G8" s="0" t="n">
        <v>6</v>
      </c>
      <c r="H8" s="54" t="n">
        <f aca="false">'Grilles et calculs individuels'!$K$74-G8</f>
        <v>2009</v>
      </c>
      <c r="I8" s="67" t="s">
        <v>70</v>
      </c>
      <c r="J8" s="68" t="n">
        <f aca="false">MAX('Grilles et calculs individuels'!D9*VLOOKUP($H8,'données complémentaires'!$A$2:$D$73,4,0)-VLOOKUP($H8,'données complémentaires'!$A$3:$G$73,6,0), 0)*VLOOKUP($H8,$A$3:$D$73,4,0)/VLOOKUP($H8,$A$3:$D$73,2,0)</f>
        <v>68.4291928541176</v>
      </c>
      <c r="K8" s="68" t="n">
        <f aca="false">MAX('Grilles et calculs individuels'!E9*VLOOKUP($H8,'données complémentaires'!$A$2:$D$73,4,0)-VLOOKUP($H8,'données complémentaires'!$A$3:$G$73,6,0), 0)*VLOOKUP($H8,$A$3:$D$73,4,0)/VLOOKUP($H8,$A$3:$D$73,2,0)</f>
        <v>25.092029841618</v>
      </c>
      <c r="L8" s="68" t="n">
        <f aca="false">MAX('Grilles et calculs individuels'!F9*VLOOKUP($H8,'données complémentaires'!$A$2:$D$73,4,0)-VLOOKUP($H8,'données complémentaires'!$A$3:$G$73,6,0), 0)*VLOOKUP($H8,$A$3:$D$73,4,0)/VLOOKUP($H8,$A$3:$D$73,2,0)</f>
        <v>4.49733373343581</v>
      </c>
      <c r="M8" s="67" t="s">
        <v>70</v>
      </c>
      <c r="N8" s="67" t="s">
        <v>70</v>
      </c>
      <c r="O8" s="67" t="s">
        <v>70</v>
      </c>
      <c r="P8" s="68" t="n">
        <f aca="false">MAX('Grilles et calculs individuels'!J9*VLOOKUP($H8,'données complémentaires'!$A$2:$D$73,4,0)-VLOOKUP($H8,'données complémentaires'!$A$3:$G$73,6,0), 0)*VLOOKUP($H8,$A$3:$D$73,4,0)/VLOOKUP($H8,$A$3:$D$73,2,0)</f>
        <v>4.49733373343581</v>
      </c>
      <c r="Q8" s="23"/>
    </row>
    <row r="9" customFormat="false" ht="12.8" hidden="false" customHeight="false" outlineLevel="0" collapsed="false">
      <c r="A9" s="64" t="n">
        <v>2034</v>
      </c>
      <c r="B9" s="65" t="n">
        <v>5.3075</v>
      </c>
      <c r="C9" s="66" t="n">
        <f aca="false">('calculs agirc'!B9-'calculs agirc'!B10)/'calculs agirc'!B10</f>
        <v>0</v>
      </c>
      <c r="D9" s="66" t="n">
        <f aca="false">0.16344-'données complémentaires'!L9</f>
        <v>0.16344</v>
      </c>
      <c r="G9" s="0" t="n">
        <v>7</v>
      </c>
      <c r="H9" s="54" t="n">
        <f aca="false">'Grilles et calculs individuels'!$K$74-G9</f>
        <v>2008</v>
      </c>
      <c r="I9" s="67" t="s">
        <v>70</v>
      </c>
      <c r="J9" s="68" t="n">
        <f aca="false">MAX('Grilles et calculs individuels'!D10*VLOOKUP($H9,'données complémentaires'!$A$2:$D$73,4,0)-VLOOKUP($H9,'données complémentaires'!$A$3:$G$73,6,0), 0)*VLOOKUP($H9,$A$3:$D$73,4,0)/VLOOKUP($H9,$A$3:$D$73,2,0)</f>
        <v>70.8667347306725</v>
      </c>
      <c r="K9" s="68" t="n">
        <f aca="false">MAX('Grilles et calculs individuels'!E10*VLOOKUP($H9,'données complémentaires'!$A$2:$D$73,4,0)-VLOOKUP($H9,'données complémentaires'!$A$3:$G$73,6,0), 0)*VLOOKUP($H9,$A$3:$D$73,4,0)/VLOOKUP($H9,$A$3:$D$73,2,0)</f>
        <v>27.1038182189874</v>
      </c>
      <c r="L9" s="68" t="n">
        <f aca="false">MAX('Grilles et calculs individuels'!F10*VLOOKUP($H9,'données complémentaires'!$A$2:$D$73,4,0)-VLOOKUP($H9,'données complémentaires'!$A$3:$G$73,6,0), 0)*VLOOKUP($H9,$A$3:$D$73,4,0)/VLOOKUP($H9,$A$3:$D$73,2,0)</f>
        <v>6.30679543957865</v>
      </c>
      <c r="M9" s="67" t="s">
        <v>70</v>
      </c>
      <c r="N9" s="67" t="s">
        <v>70</v>
      </c>
      <c r="O9" s="67" t="s">
        <v>70</v>
      </c>
      <c r="P9" s="68" t="n">
        <f aca="false">MAX('Grilles et calculs individuels'!J10*VLOOKUP($H9,'données complémentaires'!$A$2:$D$73,4,0)-VLOOKUP($H9,'données complémentaires'!$A$3:$G$73,6,0), 0)*VLOOKUP($H9,$A$3:$D$73,4,0)/VLOOKUP($H9,$A$3:$D$73,2,0)</f>
        <v>6.30679543957865</v>
      </c>
      <c r="Q9" s="23"/>
    </row>
    <row r="10" customFormat="false" ht="12.8" hidden="false" customHeight="false" outlineLevel="0" collapsed="false">
      <c r="A10" s="54" t="n">
        <v>2033</v>
      </c>
      <c r="B10" s="69" t="n">
        <v>5.3075</v>
      </c>
      <c r="C10" s="70" t="n">
        <f aca="false">('calculs agirc'!B10-'calculs agirc'!B11)/'calculs agirc'!B11</f>
        <v>0</v>
      </c>
      <c r="D10" s="70" t="n">
        <f aca="false">0.16344-'données complémentaires'!L10</f>
        <v>0.16344</v>
      </c>
      <c r="G10" s="0" t="n">
        <v>8</v>
      </c>
      <c r="H10" s="54" t="n">
        <f aca="false">'Grilles et calculs individuels'!$K$74-G10</f>
        <v>2007</v>
      </c>
      <c r="I10" s="67" t="s">
        <v>70</v>
      </c>
      <c r="J10" s="68" t="n">
        <f aca="false">MAX('Grilles et calculs individuels'!D11*VLOOKUP($H10,'données complémentaires'!$A$2:$D$73,4,0)-VLOOKUP($H10,'données complémentaires'!$A$3:$G$73,6,0), 0)*VLOOKUP($H10,$A$3:$D$73,4,0)/VLOOKUP($H10,$A$3:$D$73,2,0)</f>
        <v>75.0573330854423</v>
      </c>
      <c r="K10" s="68" t="n">
        <f aca="false">MAX('Grilles et calculs individuels'!E11*VLOOKUP($H10,'données complémentaires'!$A$2:$D$73,4,0)-VLOOKUP($H10,'données complémentaires'!$A$3:$G$73,6,0), 0)*VLOOKUP($H10,$A$3:$D$73,4,0)/VLOOKUP($H10,$A$3:$D$73,2,0)</f>
        <v>30.0581244574166</v>
      </c>
      <c r="L10" s="68" t="n">
        <f aca="false">MAX('Grilles et calculs individuels'!F11*VLOOKUP($H10,'données complémentaires'!$A$2:$D$73,4,0)-VLOOKUP($H10,'données complémentaires'!$A$3:$G$73,6,0), 0)*VLOOKUP($H10,$A$3:$D$73,4,0)/VLOOKUP($H10,$A$3:$D$73,2,0)</f>
        <v>8.67359066743168</v>
      </c>
      <c r="M10" s="67" t="s">
        <v>70</v>
      </c>
      <c r="N10" s="67" t="s">
        <v>70</v>
      </c>
      <c r="O10" s="67" t="s">
        <v>70</v>
      </c>
      <c r="P10" s="68" t="n">
        <f aca="false">MAX('Grilles et calculs individuels'!J11*VLOOKUP($H10,'données complémentaires'!$A$2:$D$73,4,0)-VLOOKUP($H10,'données complémentaires'!$A$3:$G$73,6,0), 0)*VLOOKUP($H10,$A$3:$D$73,4,0)/VLOOKUP($H10,$A$3:$D$73,2,0)</f>
        <v>8.67359066743168</v>
      </c>
      <c r="Q10" s="23"/>
    </row>
    <row r="11" customFormat="false" ht="12.8" hidden="false" customHeight="false" outlineLevel="0" collapsed="false">
      <c r="A11" s="64" t="n">
        <v>2032</v>
      </c>
      <c r="B11" s="65" t="n">
        <v>5.3075</v>
      </c>
      <c r="C11" s="66" t="n">
        <f aca="false">('calculs agirc'!B11-'calculs agirc'!B12)/'calculs agirc'!B12</f>
        <v>0</v>
      </c>
      <c r="D11" s="66" t="n">
        <f aca="false">0.16344-'données complémentaires'!L11</f>
        <v>0.16344</v>
      </c>
      <c r="G11" s="0" t="n">
        <v>9</v>
      </c>
      <c r="H11" s="54" t="n">
        <f aca="false">'Grilles et calculs individuels'!$K$74-G11</f>
        <v>2006</v>
      </c>
      <c r="I11" s="67" t="s">
        <v>70</v>
      </c>
      <c r="J11" s="68" t="n">
        <f aca="false">MAX('Grilles et calculs individuels'!D12*VLOOKUP($H11,'données complémentaires'!$A$2:$D$73,4,0)-VLOOKUP($H11,'données complémentaires'!$A$3:$G$73,6,0), 0)*VLOOKUP($H11,$A$3:$D$73,4,0)/VLOOKUP($H11,$A$3:$D$73,2,0)</f>
        <v>79.0824357702713</v>
      </c>
      <c r="K11" s="68" t="n">
        <f aca="false">MAX('Grilles et calculs individuels'!E12*VLOOKUP($H11,'données complémentaires'!$A$2:$D$73,4,0)-VLOOKUP($H11,'données complémentaires'!$A$3:$G$73,6,0), 0)*VLOOKUP($H11,$A$3:$D$73,4,0)/VLOOKUP($H11,$A$3:$D$73,2,0)</f>
        <v>32.8735152496749</v>
      </c>
      <c r="L11" s="68" t="n">
        <f aca="false">MAX('Grilles et calculs individuels'!F12*VLOOKUP($H11,'données complémentaires'!$A$2:$D$73,4,0)-VLOOKUP($H11,'données complémentaires'!$A$3:$G$73,6,0), 0)*VLOOKUP($H11,$A$3:$D$73,4,0)/VLOOKUP($H11,$A$3:$D$73,2,0)</f>
        <v>10.9141019088813</v>
      </c>
      <c r="M11" s="67" t="s">
        <v>70</v>
      </c>
      <c r="N11" s="67" t="s">
        <v>70</v>
      </c>
      <c r="O11" s="67" t="s">
        <v>70</v>
      </c>
      <c r="P11" s="68" t="n">
        <f aca="false">MAX('Grilles et calculs individuels'!J12*VLOOKUP($H11,'données complémentaires'!$A$2:$D$73,4,0)-VLOOKUP($H11,'données complémentaires'!$A$3:$G$73,6,0), 0)*VLOOKUP($H11,$A$3:$D$73,4,0)/VLOOKUP($H11,$A$3:$D$73,2,0)</f>
        <v>10.9141019088813</v>
      </c>
      <c r="Q11" s="23"/>
    </row>
    <row r="12" customFormat="false" ht="12.8" hidden="false" customHeight="false" outlineLevel="0" collapsed="false">
      <c r="A12" s="54" t="n">
        <v>2031</v>
      </c>
      <c r="B12" s="69" t="n">
        <v>5.3075</v>
      </c>
      <c r="C12" s="70" t="n">
        <f aca="false">('calculs agirc'!B12-'calculs agirc'!B13)/'calculs agirc'!B13</f>
        <v>0</v>
      </c>
      <c r="D12" s="70" t="n">
        <f aca="false">0.16344-'données complémentaires'!L12</f>
        <v>0.16344</v>
      </c>
      <c r="G12" s="0" t="n">
        <v>10</v>
      </c>
      <c r="H12" s="54" t="n">
        <f aca="false">'Grilles et calculs individuels'!$K$74-G12</f>
        <v>2005</v>
      </c>
      <c r="I12" s="67" t="s">
        <v>70</v>
      </c>
      <c r="J12" s="68" t="n">
        <f aca="false">MAX('Grilles et calculs individuels'!D13*VLOOKUP($H12,'données complémentaires'!$A$2:$D$73,4,0)-VLOOKUP($H12,'données complémentaires'!$A$3:$G$73,6,0), 0)*VLOOKUP($H12,$A$3:$D$73,4,0)/VLOOKUP($H12,$A$3:$D$73,2,0)</f>
        <v>82.3002060128042</v>
      </c>
      <c r="K12" s="68" t="n">
        <f aca="false">MAX('Grilles et calculs individuels'!E13*VLOOKUP($H12,'données complémentaires'!$A$2:$D$73,4,0)-VLOOKUP($H12,'données complémentaires'!$A$3:$G$73,6,0), 0)*VLOOKUP($H12,$A$3:$D$73,4,0)/VLOOKUP($H12,$A$3:$D$73,2,0)</f>
        <v>34.9753970002512</v>
      </c>
      <c r="L12" s="68" t="n">
        <f aca="false">MAX('Grilles et calculs individuels'!F13*VLOOKUP($H12,'données complémentaires'!$A$2:$D$73,4,0)-VLOOKUP($H12,'données complémentaires'!$A$3:$G$73,6,0), 0)*VLOOKUP($H12,$A$3:$D$73,4,0)/VLOOKUP($H12,$A$3:$D$73,2,0)</f>
        <v>12.485690885659</v>
      </c>
      <c r="M12" s="67" t="s">
        <v>70</v>
      </c>
      <c r="N12" s="67" t="s">
        <v>70</v>
      </c>
      <c r="O12" s="67" t="s">
        <v>70</v>
      </c>
      <c r="P12" s="68" t="n">
        <f aca="false">MAX('Grilles et calculs individuels'!J13*VLOOKUP($H12,'données complémentaires'!$A$2:$D$73,4,0)-VLOOKUP($H12,'données complémentaires'!$A$3:$G$73,6,0), 0)*VLOOKUP($H12,$A$3:$D$73,4,0)/VLOOKUP($H12,$A$3:$D$73,2,0)</f>
        <v>12.485690885659</v>
      </c>
      <c r="Q12" s="23"/>
    </row>
    <row r="13" customFormat="false" ht="12.8" hidden="false" customHeight="false" outlineLevel="0" collapsed="false">
      <c r="A13" s="64" t="n">
        <v>2030</v>
      </c>
      <c r="B13" s="65" t="n">
        <v>5.3075</v>
      </c>
      <c r="C13" s="66" t="n">
        <f aca="false">('calculs agirc'!B13-'calculs agirc'!B14)/'calculs agirc'!B14</f>
        <v>0</v>
      </c>
      <c r="D13" s="66" t="n">
        <f aca="false">0.16344-'données complémentaires'!L13</f>
        <v>0.16344</v>
      </c>
      <c r="G13" s="0" t="n">
        <v>11</v>
      </c>
      <c r="H13" s="54" t="n">
        <f aca="false">'Grilles et calculs individuels'!$K$74-G13</f>
        <v>2004</v>
      </c>
      <c r="I13" s="67" t="s">
        <v>70</v>
      </c>
      <c r="J13" s="68" t="n">
        <f aca="false">MAX('Grilles et calculs individuels'!D14*VLOOKUP($H13,'données complémentaires'!$A$2:$D$73,4,0)-VLOOKUP($H13,'données complémentaires'!$A$3:$G$73,6,0), 0)*VLOOKUP($H13,$A$3:$D$73,4,0)/VLOOKUP($H13,$A$3:$D$73,2,0)</f>
        <v>84.7856107554764</v>
      </c>
      <c r="K13" s="68" t="n">
        <f aca="false">MAX('Grilles et calculs individuels'!E14*VLOOKUP($H13,'données complémentaires'!$A$2:$D$73,4,0)-VLOOKUP($H13,'données complémentaires'!$A$3:$G$73,6,0), 0)*VLOOKUP($H13,$A$3:$D$73,4,0)/VLOOKUP($H13,$A$3:$D$73,2,0)</f>
        <v>36.3811543154648</v>
      </c>
      <c r="L13" s="68" t="n">
        <f aca="false">MAX('Grilles et calculs individuels'!F14*VLOOKUP($H13,'données complémentaires'!$A$2:$D$73,4,0)-VLOOKUP($H13,'données complémentaires'!$A$3:$G$73,6,0), 0)*VLOOKUP($H13,$A$3:$D$73,4,0)/VLOOKUP($H13,$A$3:$D$73,2,0)</f>
        <v>13.3783779136902</v>
      </c>
      <c r="M13" s="67" t="s">
        <v>70</v>
      </c>
      <c r="N13" s="67" t="s">
        <v>70</v>
      </c>
      <c r="O13" s="67" t="s">
        <v>70</v>
      </c>
      <c r="P13" s="68" t="n">
        <f aca="false">MAX('Grilles et calculs individuels'!J14*VLOOKUP($H13,'données complémentaires'!$A$2:$D$73,4,0)-VLOOKUP($H13,'données complémentaires'!$A$3:$G$73,6,0), 0)*VLOOKUP($H13,$A$3:$D$73,4,0)/VLOOKUP($H13,$A$3:$D$73,2,0)</f>
        <v>6.88692211988845</v>
      </c>
      <c r="Q13" s="23"/>
    </row>
    <row r="14" customFormat="false" ht="12.8" hidden="false" customHeight="false" outlineLevel="0" collapsed="false">
      <c r="A14" s="54" t="n">
        <v>2029</v>
      </c>
      <c r="B14" s="69" t="n">
        <v>5.3075</v>
      </c>
      <c r="C14" s="70" t="n">
        <f aca="false">('calculs agirc'!B14-'calculs agirc'!B15)/'calculs agirc'!B15</f>
        <v>0</v>
      </c>
      <c r="D14" s="70" t="n">
        <f aca="false">0.16344-'données complémentaires'!L14</f>
        <v>0.16344</v>
      </c>
      <c r="G14" s="0" t="n">
        <v>12</v>
      </c>
      <c r="H14" s="54" t="n">
        <f aca="false">'Grilles et calculs individuels'!$K$74-G14</f>
        <v>2003</v>
      </c>
      <c r="I14" s="67" t="s">
        <v>70</v>
      </c>
      <c r="J14" s="68" t="n">
        <f aca="false">MAX('Grilles et calculs individuels'!D15*VLOOKUP($H14,'données complémentaires'!$A$2:$D$73,4,0)-VLOOKUP($H14,'données complémentaires'!$A$3:$G$73,6,0), 0)*VLOOKUP($H14,$A$3:$D$73,4,0)/VLOOKUP($H14,$A$3:$D$73,2,0)</f>
        <v>83.7538347186451</v>
      </c>
      <c r="K14" s="68" t="n">
        <f aca="false">MAX('Grilles et calculs individuels'!E15*VLOOKUP($H14,'données complémentaires'!$A$2:$D$73,4,0)-VLOOKUP($H14,'données complémentaires'!$A$3:$G$73,6,0), 0)*VLOOKUP($H14,$A$3:$D$73,4,0)/VLOOKUP($H14,$A$3:$D$73,2,0)</f>
        <v>38.0733683055333</v>
      </c>
      <c r="L14" s="68" t="n">
        <f aca="false">MAX('Grilles et calculs individuels'!F15*VLOOKUP($H14,'données complémentaires'!$A$2:$D$73,4,0)-VLOOKUP($H14,'données complémentaires'!$A$3:$G$73,6,0), 0)*VLOOKUP($H14,$A$3:$D$73,4,0)/VLOOKUP($H14,$A$3:$D$73,2,0)</f>
        <v>14.658418039217</v>
      </c>
      <c r="M14" s="67" t="s">
        <v>70</v>
      </c>
      <c r="N14" s="67" t="s">
        <v>70</v>
      </c>
      <c r="O14" s="67" t="s">
        <v>70</v>
      </c>
      <c r="P14" s="68" t="n">
        <f aca="false">MAX('Grilles et calculs individuels'!J15*VLOOKUP($H14,'données complémentaires'!$A$2:$D$73,4,0)-VLOOKUP($H14,'données complémentaires'!$A$3:$G$73,6,0), 0)*VLOOKUP($H14,$A$3:$D$73,4,0)/VLOOKUP($H14,$A$3:$D$73,2,0)</f>
        <v>8.05064548545984</v>
      </c>
      <c r="Q14" s="23"/>
    </row>
    <row r="15" customFormat="false" ht="12.8" hidden="false" customHeight="false" outlineLevel="0" collapsed="false">
      <c r="A15" s="64" t="n">
        <v>2028</v>
      </c>
      <c r="B15" s="65" t="n">
        <v>5.3075</v>
      </c>
      <c r="C15" s="66" t="n">
        <f aca="false">('calculs agirc'!B15-'calculs agirc'!B16)/'calculs agirc'!B16</f>
        <v>0</v>
      </c>
      <c r="D15" s="66" t="n">
        <f aca="false">0.16344-'données complémentaires'!L15</f>
        <v>0.16344</v>
      </c>
      <c r="G15" s="0" t="n">
        <v>13</v>
      </c>
      <c r="H15" s="54" t="n">
        <f aca="false">'Grilles et calculs individuels'!$K$74-G15</f>
        <v>2002</v>
      </c>
      <c r="I15" s="67" t="s">
        <v>70</v>
      </c>
      <c r="J15" s="68" t="n">
        <f aca="false">MAX('Grilles et calculs individuels'!D16*VLOOKUP($H15,'données complémentaires'!$A$2:$D$73,4,0)-VLOOKUP($H15,'données complémentaires'!$A$3:$G$73,6,0), 0)*VLOOKUP($H15,$A$3:$D$73,4,0)/VLOOKUP($H15,$A$3:$D$73,2,0)</f>
        <v>86.5398695731188</v>
      </c>
      <c r="K15" s="68" t="n">
        <f aca="false">MAX('Grilles et calculs individuels'!E16*VLOOKUP($H15,'données complémentaires'!$A$2:$D$73,4,0)-VLOOKUP($H15,'données complémentaires'!$A$3:$G$73,6,0), 0)*VLOOKUP($H15,$A$3:$D$73,4,0)/VLOOKUP($H15,$A$3:$D$73,2,0)</f>
        <v>40.4699535386927</v>
      </c>
      <c r="L15" s="68" t="n">
        <f aca="false">MAX('Grilles et calculs individuels'!F16*VLOOKUP($H15,'données complémentaires'!$A$2:$D$73,4,0)-VLOOKUP($H15,'données complémentaires'!$A$3:$G$73,6,0), 0)*VLOOKUP($H15,$A$3:$D$73,4,0)/VLOOKUP($H15,$A$3:$D$73,2,0)</f>
        <v>16.8553787012996</v>
      </c>
      <c r="M15" s="67" t="s">
        <v>70</v>
      </c>
      <c r="N15" s="67" t="s">
        <v>70</v>
      </c>
      <c r="O15" s="67" t="s">
        <v>70</v>
      </c>
      <c r="P15" s="68" t="n">
        <f aca="false">MAX('Grilles et calculs individuels'!J16*VLOOKUP($H15,'données complémentaires'!$A$2:$D$73,4,0)-VLOOKUP($H15,'données complémentaires'!$A$3:$G$73,6,0), 0)*VLOOKUP($H15,$A$3:$D$73,4,0)/VLOOKUP($H15,$A$3:$D$73,2,0)</f>
        <v>10.1912714662036</v>
      </c>
      <c r="Q15" s="23"/>
    </row>
    <row r="16" customFormat="false" ht="12.8" hidden="false" customHeight="false" outlineLevel="0" collapsed="false">
      <c r="A16" s="54" t="n">
        <v>2027</v>
      </c>
      <c r="B16" s="69" t="n">
        <v>5.3075</v>
      </c>
      <c r="C16" s="70" t="n">
        <f aca="false">('calculs agirc'!B16-'calculs agirc'!B17)/'calculs agirc'!B17</f>
        <v>0</v>
      </c>
      <c r="D16" s="70" t="n">
        <f aca="false">0.16344-'données complémentaires'!L16</f>
        <v>0.16344</v>
      </c>
      <c r="G16" s="0" t="n">
        <v>14</v>
      </c>
      <c r="H16" s="54" t="n">
        <f aca="false">'Grilles et calculs individuels'!$K$74-G16</f>
        <v>2001</v>
      </c>
      <c r="I16" s="67" t="s">
        <v>70</v>
      </c>
      <c r="J16" s="68" t="n">
        <f aca="false">MAX('Grilles et calculs individuels'!D17*VLOOKUP($H16,'données complémentaires'!$A$2:$D$73,4,0)-VLOOKUP($H16,'données complémentaires'!$A$3:$G$73,6,0), 0)*VLOOKUP($H16,$A$3:$D$73,4,0)/VLOOKUP($H16,$A$3:$D$73,2,0)</f>
        <v>93.3210256495832</v>
      </c>
      <c r="K16" s="68" t="n">
        <f aca="false">MAX('Grilles et calculs individuels'!E17*VLOOKUP($H16,'données complémentaires'!$A$2:$D$73,4,0)-VLOOKUP($H16,'données complémentaires'!$A$3:$G$73,6,0), 0)*VLOOKUP($H16,$A$3:$D$73,4,0)/VLOOKUP($H16,$A$3:$D$73,2,0)</f>
        <v>44.4510028149305</v>
      </c>
      <c r="L16" s="68" t="n">
        <f aca="false">MAX('Grilles et calculs individuels'!F17*VLOOKUP($H16,'données complémentaires'!$A$2:$D$73,4,0)-VLOOKUP($H16,'données complémentaires'!$A$3:$G$73,6,0), 0)*VLOOKUP($H16,$A$3:$D$73,4,0)/VLOOKUP($H16,$A$3:$D$73,2,0)</f>
        <v>19.4011457526417</v>
      </c>
      <c r="M16" s="67" t="s">
        <v>70</v>
      </c>
      <c r="N16" s="67" t="s">
        <v>70</v>
      </c>
      <c r="O16" s="67" t="s">
        <v>70</v>
      </c>
      <c r="P16" s="68" t="n">
        <f aca="false">MAX('Grilles et calculs individuels'!J17*VLOOKUP($H16,'données complémentaires'!$A$2:$D$73,4,0)-VLOOKUP($H16,'données complémentaires'!$A$3:$G$73,6,0), 0)*VLOOKUP($H16,$A$3:$D$73,4,0)/VLOOKUP($H16,$A$3:$D$73,2,0)</f>
        <v>12.3319973628692</v>
      </c>
      <c r="Q16" s="23"/>
    </row>
    <row r="17" customFormat="false" ht="12.8" hidden="false" customHeight="false" outlineLevel="0" collapsed="false">
      <c r="A17" s="64" t="n">
        <v>2026</v>
      </c>
      <c r="B17" s="65" t="n">
        <v>5.3075</v>
      </c>
      <c r="C17" s="66" t="n">
        <f aca="false">('calculs agirc'!B17-'calculs agirc'!B18)/'calculs agirc'!B18</f>
        <v>0</v>
      </c>
      <c r="D17" s="66" t="n">
        <f aca="false">0.16344-'données complémentaires'!L17</f>
        <v>0.16344</v>
      </c>
      <c r="G17" s="0" t="n">
        <v>15</v>
      </c>
      <c r="H17" s="54" t="n">
        <f aca="false">'Grilles et calculs individuels'!$K$74-G17</f>
        <v>2000</v>
      </c>
      <c r="I17" s="67" t="s">
        <v>70</v>
      </c>
      <c r="J17" s="68" t="n">
        <f aca="false">MAX('Grilles et calculs individuels'!D18*VLOOKUP($H17,'données complémentaires'!$A$2:$D$73,4,0)-VLOOKUP($H17,'données complémentaires'!$A$3:$G$73,6,0), 0)*VLOOKUP($H17,$A$3:$D$73,4,0)/VLOOKUP($H17,$A$3:$D$73,2,0)</f>
        <v>85.4319684806708</v>
      </c>
      <c r="K17" s="68" t="n">
        <f aca="false">MAX('Grilles et calculs individuels'!E18*VLOOKUP($H17,'données complémentaires'!$A$2:$D$73,4,0)-VLOOKUP($H17,'données complémentaires'!$A$3:$G$73,6,0), 0)*VLOOKUP($H17,$A$3:$D$73,4,0)/VLOOKUP($H17,$A$3:$D$73,2,0)</f>
        <v>44.6806340284892</v>
      </c>
      <c r="L17" s="68" t="n">
        <f aca="false">MAX('Grilles et calculs individuels'!F18*VLOOKUP($H17,'données complémentaires'!$A$2:$D$73,4,0)-VLOOKUP($H17,'données complémentaires'!$A$3:$G$73,6,0), 0)*VLOOKUP($H17,$A$3:$D$73,4,0)/VLOOKUP($H17,$A$3:$D$73,2,0)</f>
        <v>19.6146925564474</v>
      </c>
      <c r="M17" s="67" t="s">
        <v>70</v>
      </c>
      <c r="N17" s="67" t="s">
        <v>70</v>
      </c>
      <c r="O17" s="67" t="s">
        <v>70</v>
      </c>
      <c r="P17" s="68" t="n">
        <f aca="false">MAX('Grilles et calculs individuels'!J18*VLOOKUP($H17,'données complémentaires'!$A$2:$D$73,4,0)-VLOOKUP($H17,'données complémentaires'!$A$3:$G$73,6,0), 0)*VLOOKUP($H17,$A$3:$D$73,4,0)/VLOOKUP($H17,$A$3:$D$73,2,0)</f>
        <v>12.5410050956924</v>
      </c>
      <c r="Q17" s="23"/>
    </row>
    <row r="18" customFormat="false" ht="12.8" hidden="false" customHeight="false" outlineLevel="0" collapsed="false">
      <c r="A18" s="54" t="n">
        <v>2025</v>
      </c>
      <c r="B18" s="69" t="n">
        <v>5.3075</v>
      </c>
      <c r="C18" s="70" t="n">
        <f aca="false">('calculs agirc'!B18-'calculs agirc'!B19)/'calculs agirc'!B19</f>
        <v>0</v>
      </c>
      <c r="D18" s="70" t="n">
        <f aca="false">0.16344-'données complémentaires'!L18</f>
        <v>0.16344</v>
      </c>
      <c r="G18" s="0" t="n">
        <v>16</v>
      </c>
      <c r="H18" s="54" t="n">
        <f aca="false">'Grilles et calculs individuels'!$K$74-G18</f>
        <v>1999</v>
      </c>
      <c r="I18" s="67" t="s">
        <v>70</v>
      </c>
      <c r="J18" s="68" t="n">
        <f aca="false">MAX('Grilles et calculs individuels'!D19*VLOOKUP($H18,'données complémentaires'!$A$2:$D$73,4,0)-VLOOKUP($H18,'données complémentaires'!$A$3:$G$73,6,0), 0)*VLOOKUP($H18,$A$3:$D$73,4,0)/VLOOKUP($H18,$A$3:$D$73,2,0)</f>
        <v>91.4098281114333</v>
      </c>
      <c r="K18" s="68" t="n">
        <f aca="false">MAX('Grilles et calculs individuels'!E19*VLOOKUP($H18,'données complémentaires'!$A$2:$D$73,4,0)-VLOOKUP($H18,'données complémentaires'!$A$3:$G$73,6,0), 0)*VLOOKUP($H18,$A$3:$D$73,4,0)/VLOOKUP($H18,$A$3:$D$73,2,0)</f>
        <v>48.3051813226079</v>
      </c>
      <c r="L18" s="68" t="n">
        <f aca="false">MAX('Grilles et calculs individuels'!F19*VLOOKUP($H18,'données complémentaires'!$A$2:$D$73,4,0)-VLOOKUP($H18,'données complémentaires'!$A$3:$G$73,6,0), 0)*VLOOKUP($H18,$A$3:$D$73,4,0)/VLOOKUP($H18,$A$3:$D$73,2,0)</f>
        <v>21.7917292330925</v>
      </c>
      <c r="M18" s="67" t="s">
        <v>70</v>
      </c>
      <c r="N18" s="67" t="s">
        <v>70</v>
      </c>
      <c r="O18" s="67" t="s">
        <v>70</v>
      </c>
      <c r="P18" s="68" t="n">
        <f aca="false">MAX('Grilles et calculs individuels'!J19*VLOOKUP($H18,'données complémentaires'!$A$2:$D$73,4,0)-VLOOKUP($H18,'données complémentaires'!$A$3:$G$73,6,0), 0)*VLOOKUP($H18,$A$3:$D$73,4,0)/VLOOKUP($H18,$A$3:$D$73,2,0)</f>
        <v>6.99001866002449</v>
      </c>
      <c r="Q18" s="23"/>
    </row>
    <row r="19" customFormat="false" ht="12.8" hidden="false" customHeight="false" outlineLevel="0" collapsed="false">
      <c r="A19" s="64" t="n">
        <v>2024</v>
      </c>
      <c r="B19" s="65" t="n">
        <v>5.3075</v>
      </c>
      <c r="C19" s="66" t="n">
        <f aca="false">('calculs agirc'!B19-'calculs agirc'!B20)/'calculs agirc'!B20</f>
        <v>0</v>
      </c>
      <c r="D19" s="66" t="n">
        <f aca="false">0.16344-'données complémentaires'!L19</f>
        <v>0.16344</v>
      </c>
      <c r="G19" s="0" t="n">
        <v>17</v>
      </c>
      <c r="H19" s="54" t="n">
        <f aca="false">'Grilles et calculs individuels'!$K$74-G19</f>
        <v>1998</v>
      </c>
      <c r="I19" s="67" t="s">
        <v>70</v>
      </c>
      <c r="J19" s="68" t="n">
        <f aca="false">MAX('Grilles et calculs individuels'!D20*VLOOKUP($H19,'données complémentaires'!$A$2:$D$73,4,0)-VLOOKUP($H19,'données complémentaires'!$A$3:$G$73,6,0), 0)*VLOOKUP($H19,$A$3:$D$73,4,0)/VLOOKUP($H19,$A$3:$D$73,2,0)</f>
        <v>85.2424444745324</v>
      </c>
      <c r="K19" s="68" t="n">
        <f aca="false">MAX('Grilles et calculs individuels'!E20*VLOOKUP($H19,'données complémentaires'!$A$2:$D$73,4,0)-VLOOKUP($H19,'données complémentaires'!$A$3:$G$73,6,0), 0)*VLOOKUP($H19,$A$3:$D$73,4,0)/VLOOKUP($H19,$A$3:$D$73,2,0)</f>
        <v>46.6161387518813</v>
      </c>
      <c r="L19" s="68" t="n">
        <f aca="false">MAX('Grilles et calculs individuels'!F20*VLOOKUP($H19,'données complémentaires'!$A$2:$D$73,4,0)-VLOOKUP($H19,'données complémentaires'!$A$3:$G$73,6,0), 0)*VLOOKUP($H19,$A$3:$D$73,4,0)/VLOOKUP($H19,$A$3:$D$73,2,0)</f>
        <v>16.7286812910632</v>
      </c>
      <c r="M19" s="67" t="s">
        <v>70</v>
      </c>
      <c r="N19" s="67" t="s">
        <v>70</v>
      </c>
      <c r="O19" s="67" t="s">
        <v>70</v>
      </c>
      <c r="P19" s="68" t="n">
        <f aca="false">MAX('Grilles et calculs individuels'!J20*VLOOKUP($H19,'données complémentaires'!$A$2:$D$73,4,0)-VLOOKUP($H19,'données complémentaires'!$A$3:$G$73,6,0), 0)*VLOOKUP($H19,$A$3:$D$73,4,0)/VLOOKUP($H19,$A$3:$D$73,2,0)</f>
        <v>8.86368010823956</v>
      </c>
      <c r="Q19" s="23"/>
    </row>
    <row r="20" customFormat="false" ht="12.8" hidden="false" customHeight="false" outlineLevel="0" collapsed="false">
      <c r="A20" s="54" t="n">
        <v>2023</v>
      </c>
      <c r="B20" s="69" t="n">
        <v>5.3075</v>
      </c>
      <c r="C20" s="70" t="n">
        <f aca="false">('calculs agirc'!B20-'calculs agirc'!B21)/'calculs agirc'!B21</f>
        <v>0</v>
      </c>
      <c r="D20" s="70" t="n">
        <f aca="false">0.16344-'données complémentaires'!L20</f>
        <v>0.16344</v>
      </c>
      <c r="G20" s="0" t="n">
        <v>18</v>
      </c>
      <c r="H20" s="54" t="n">
        <f aca="false">'Grilles et calculs individuels'!$K$74-G20</f>
        <v>1997</v>
      </c>
      <c r="I20" s="67" t="s">
        <v>70</v>
      </c>
      <c r="J20" s="68" t="n">
        <f aca="false">MAX('Grilles et calculs individuels'!D21*VLOOKUP($H20,'données complémentaires'!$A$2:$D$73,4,0)-VLOOKUP($H20,'données complémentaires'!$A$3:$G$73,6,0), 0)*VLOOKUP($H20,$A$3:$D$73,4,0)/VLOOKUP($H20,$A$3:$D$73,2,0)</f>
        <v>90.585560352203</v>
      </c>
      <c r="K20" s="68" t="n">
        <f aca="false">MAX('Grilles et calculs individuels'!E21*VLOOKUP($H20,'données complémentaires'!$A$2:$D$73,4,0)-VLOOKUP($H20,'données complémentaires'!$A$3:$G$73,6,0), 0)*VLOOKUP($H20,$A$3:$D$73,4,0)/VLOOKUP($H20,$A$3:$D$73,2,0)</f>
        <v>50.2356932343921</v>
      </c>
      <c r="L20" s="68" t="n">
        <f aca="false">MAX('Grilles et calculs individuels'!F21*VLOOKUP($H20,'données complémentaires'!$A$2:$D$73,4,0)-VLOOKUP($H20,'données complémentaires'!$A$3:$G$73,6,0), 0)*VLOOKUP($H20,$A$3:$D$73,4,0)/VLOOKUP($H20,$A$3:$D$73,2,0)</f>
        <v>19.0146143744987</v>
      </c>
      <c r="M20" s="67" t="s">
        <v>70</v>
      </c>
      <c r="N20" s="67" t="s">
        <v>70</v>
      </c>
      <c r="O20" s="67" t="s">
        <v>70</v>
      </c>
      <c r="P20" s="68" t="n">
        <f aca="false">MAX('Grilles et calculs individuels'!J21*VLOOKUP($H20,'données complémentaires'!$A$2:$D$73,4,0)-VLOOKUP($H20,'données complémentaires'!$A$3:$G$73,6,0), 0)*VLOOKUP($H20,$A$3:$D$73,4,0)/VLOOKUP($H20,$A$3:$D$73,2,0)</f>
        <v>10.7986655108657</v>
      </c>
      <c r="Q20" s="23"/>
    </row>
    <row r="21" customFormat="false" ht="12.8" hidden="false" customHeight="false" outlineLevel="0" collapsed="false">
      <c r="A21" s="64" t="n">
        <v>2022</v>
      </c>
      <c r="B21" s="65" t="n">
        <v>5.3075</v>
      </c>
      <c r="C21" s="66" t="n">
        <f aca="false">('calculs agirc'!B21-'calculs agirc'!B22)/'calculs agirc'!B22</f>
        <v>0</v>
      </c>
      <c r="D21" s="66" t="n">
        <f aca="false">0.16344-'données complémentaires'!L21</f>
        <v>0.16344</v>
      </c>
      <c r="G21" s="0" t="n">
        <v>19</v>
      </c>
      <c r="H21" s="54" t="n">
        <f aca="false">'Grilles et calculs individuels'!$K$74-G21</f>
        <v>1996</v>
      </c>
      <c r="I21" s="67" t="s">
        <v>70</v>
      </c>
      <c r="J21" s="68" t="n">
        <f aca="false">MAX('Grilles et calculs individuels'!D22*VLOOKUP($H21,'données complémentaires'!$A$2:$D$73,4,0)-VLOOKUP($H21,'données complémentaires'!$A$3:$G$73,6,0), 0)*VLOOKUP($H21,$A$3:$D$73,4,0)/VLOOKUP($H21,$A$3:$D$73,2,0)</f>
        <v>108.376590816584</v>
      </c>
      <c r="K21" s="68" t="n">
        <f aca="false">MAX('Grilles et calculs individuels'!E22*VLOOKUP($H21,'données complémentaires'!$A$2:$D$73,4,0)-VLOOKUP($H21,'données complémentaires'!$A$3:$G$73,6,0), 0)*VLOOKUP($H21,$A$3:$D$73,4,0)/VLOOKUP($H21,$A$3:$D$73,2,0)</f>
        <v>54.9687314136135</v>
      </c>
      <c r="L21" s="68" t="n">
        <f aca="false">MAX('Grilles et calculs individuels'!F22*VLOOKUP($H21,'données complémentaires'!$A$2:$D$73,4,0)-VLOOKUP($H21,'données complémentaires'!$A$3:$G$73,6,0), 0)*VLOOKUP($H21,$A$3:$D$73,4,0)/VLOOKUP($H21,$A$3:$D$73,2,0)</f>
        <v>21.7587427083419</v>
      </c>
      <c r="M21" s="67" t="s">
        <v>70</v>
      </c>
      <c r="N21" s="67" t="s">
        <v>70</v>
      </c>
      <c r="O21" s="67" t="s">
        <v>70</v>
      </c>
      <c r="P21" s="68" t="n">
        <f aca="false">MAX('Grilles et calculs individuels'!J22*VLOOKUP($H21,'données complémentaires'!$A$2:$D$73,4,0)-VLOOKUP($H21,'données complémentaires'!$A$3:$G$73,6,0), 0)*VLOOKUP($H21,$A$3:$D$73,4,0)/VLOOKUP($H21,$A$3:$D$73,2,0)</f>
        <v>13.0194044494437</v>
      </c>
      <c r="Q21" s="23"/>
    </row>
    <row r="22" customFormat="false" ht="12.8" hidden="false" customHeight="false" outlineLevel="0" collapsed="false">
      <c r="A22" s="54" t="n">
        <v>2021</v>
      </c>
      <c r="B22" s="69" t="n">
        <v>5.3075</v>
      </c>
      <c r="C22" s="70" t="n">
        <f aca="false">('calculs agirc'!B22-'calculs agirc'!B23)/'calculs agirc'!B23</f>
        <v>0</v>
      </c>
      <c r="D22" s="70" t="n">
        <f aca="false">0.16344-'données complémentaires'!L22</f>
        <v>0.16344</v>
      </c>
      <c r="G22" s="0" t="n">
        <v>20</v>
      </c>
      <c r="H22" s="54" t="n">
        <f aca="false">'Grilles et calculs individuels'!$K$74-G22</f>
        <v>1995</v>
      </c>
      <c r="I22" s="67" t="s">
        <v>70</v>
      </c>
      <c r="J22" s="68" t="n">
        <f aca="false">MAX('Grilles et calculs individuels'!D23*VLOOKUP($H22,'données complémentaires'!$A$2:$D$73,4,0)-VLOOKUP($H22,'données complémentaires'!$A$3:$G$73,6,0), 0)*VLOOKUP($H22,$A$3:$D$73,4,0)/VLOOKUP($H22,$A$3:$D$73,2,0)</f>
        <v>116.103913298794</v>
      </c>
      <c r="K22" s="68" t="n">
        <f aca="false">MAX('Grilles et calculs individuels'!E23*VLOOKUP($H22,'données complémentaires'!$A$2:$D$73,4,0)-VLOOKUP($H22,'données complémentaires'!$A$3:$G$73,6,0), 0)*VLOOKUP($H22,$A$3:$D$73,4,0)/VLOOKUP($H22,$A$3:$D$73,2,0)</f>
        <v>59.9673311502083</v>
      </c>
      <c r="L22" s="68" t="n">
        <f aca="false">MAX('Grilles et calculs individuels'!F23*VLOOKUP($H22,'données complémentaires'!$A$2:$D$73,4,0)-VLOOKUP($H22,'données complémentaires'!$A$3:$G$73,6,0), 0)*VLOOKUP($H22,$A$3:$D$73,4,0)/VLOOKUP($H22,$A$3:$D$73,2,0)</f>
        <v>25.0605724830857</v>
      </c>
      <c r="M22" s="67" t="s">
        <v>70</v>
      </c>
      <c r="N22" s="67" t="s">
        <v>70</v>
      </c>
      <c r="O22" s="67" t="s">
        <v>70</v>
      </c>
      <c r="P22" s="68" t="n">
        <f aca="false">MAX('Grilles et calculs individuels'!J23*VLOOKUP($H22,'données complémentaires'!$A$2:$D$73,4,0)-VLOOKUP($H22,'données complémentaires'!$A$3:$G$73,6,0), 0)*VLOOKUP($H22,$A$3:$D$73,4,0)/VLOOKUP($H22,$A$3:$D$73,2,0)</f>
        <v>8.52551362116567</v>
      </c>
      <c r="Q22" s="23"/>
    </row>
    <row r="23" customFormat="false" ht="12.8" hidden="false" customHeight="false" outlineLevel="0" collapsed="false">
      <c r="A23" s="64" t="n">
        <v>2020</v>
      </c>
      <c r="B23" s="65" t="n">
        <v>5.3075</v>
      </c>
      <c r="C23" s="66" t="n">
        <f aca="false">('calculs agirc'!B23-'calculs agirc'!B24)/'calculs agirc'!B24</f>
        <v>0</v>
      </c>
      <c r="D23" s="66" t="n">
        <f aca="false">0.16344-'données complémentaires'!L23</f>
        <v>0.16344</v>
      </c>
      <c r="G23" s="0" t="n">
        <v>21</v>
      </c>
      <c r="H23" s="54" t="n">
        <f aca="false">'Grilles et calculs individuels'!$K$74-G23</f>
        <v>1994</v>
      </c>
      <c r="I23" s="67" t="s">
        <v>70</v>
      </c>
      <c r="J23" s="68" t="n">
        <f aca="false">MAX('Grilles et calculs individuels'!D24*VLOOKUP($H23,'données complémentaires'!$A$2:$D$73,4,0)-VLOOKUP($H23,'données complémentaires'!$A$3:$G$73,6,0), 0)*VLOOKUP($H23,$A$3:$D$73,4,0)/VLOOKUP($H23,$A$3:$D$73,2,0)</f>
        <v>115.062271715903</v>
      </c>
      <c r="K23" s="68" t="n">
        <f aca="false">MAX('Grilles et calculs individuels'!E24*VLOOKUP($H23,'données complémentaires'!$A$2:$D$73,4,0)-VLOOKUP($H23,'données complémentaires'!$A$3:$G$73,6,0), 0)*VLOOKUP($H23,$A$3:$D$73,4,0)/VLOOKUP($H23,$A$3:$D$73,2,0)</f>
        <v>59.0022790604895</v>
      </c>
      <c r="L23" s="68" t="n">
        <f aca="false">MAX('Grilles et calculs individuels'!F24*VLOOKUP($H23,'données complémentaires'!$A$2:$D$73,4,0)-VLOOKUP($H23,'données complémentaires'!$A$3:$G$73,6,0), 0)*VLOOKUP($H23,$A$3:$D$73,4,0)/VLOOKUP($H23,$A$3:$D$73,2,0)</f>
        <v>24.1431451480679</v>
      </c>
      <c r="M23" s="67" t="s">
        <v>70</v>
      </c>
      <c r="N23" s="67" t="s">
        <v>70</v>
      </c>
      <c r="O23" s="67" t="s">
        <v>70</v>
      </c>
      <c r="P23" s="68" t="n">
        <f aca="false">MAX('Grilles et calculs individuels'!J24*VLOOKUP($H23,'données complémentaires'!$A$2:$D$73,4,0)-VLOOKUP($H23,'données complémentaires'!$A$3:$G$73,6,0), 0)*VLOOKUP($H23,$A$3:$D$73,4,0)/VLOOKUP($H23,$A$3:$D$73,2,0)</f>
        <v>7.63064576036831</v>
      </c>
      <c r="Q23" s="23"/>
    </row>
    <row r="24" customFormat="false" ht="12.8" hidden="false" customHeight="false" outlineLevel="0" collapsed="false">
      <c r="A24" s="54" t="n">
        <v>2019</v>
      </c>
      <c r="B24" s="69" t="n">
        <v>5.3075</v>
      </c>
      <c r="C24" s="70" t="n">
        <f aca="false">('calculs agirc'!B24-'calculs agirc'!B25)/'calculs agirc'!B25</f>
        <v>0</v>
      </c>
      <c r="D24" s="70" t="n">
        <f aca="false">0.16344-'données complémentaires'!L24</f>
        <v>0.16074</v>
      </c>
      <c r="G24" s="0" t="n">
        <v>22</v>
      </c>
      <c r="H24" s="54" t="n">
        <f aca="false">'Grilles et calculs individuels'!$K$74-G24</f>
        <v>1993</v>
      </c>
      <c r="I24" s="67" t="s">
        <v>70</v>
      </c>
      <c r="J24" s="68" t="n">
        <f aca="false">MAX('Grilles et calculs individuels'!D25*VLOOKUP($H24,'données complémentaires'!$A$2:$D$73,4,0)-VLOOKUP($H24,'données complémentaires'!$A$3:$G$73,6,0), 0)*VLOOKUP($H24,$A$3:$D$73,4,0)/VLOOKUP($H24,$A$3:$D$73,2,0)</f>
        <v>105.151325685916</v>
      </c>
      <c r="K24" s="68" t="n">
        <f aca="false">MAX('Grilles et calculs individuels'!E25*VLOOKUP($H24,'données complémentaires'!$A$2:$D$73,4,0)-VLOOKUP($H24,'données complémentaires'!$A$3:$G$73,6,0), 0)*VLOOKUP($H24,$A$3:$D$73,4,0)/VLOOKUP($H24,$A$3:$D$73,2,0)</f>
        <v>50.0560808604971</v>
      </c>
      <c r="L24" s="68" t="n">
        <f aca="false">MAX('Grilles et calculs individuels'!F25*VLOOKUP($H24,'données complémentaires'!$A$2:$D$73,4,0)-VLOOKUP($H24,'données complémentaires'!$A$3:$G$73,6,0), 0)*VLOOKUP($H24,$A$3:$D$73,4,0)/VLOOKUP($H24,$A$3:$D$73,2,0)</f>
        <v>15.9790695011288</v>
      </c>
      <c r="M24" s="67" t="s">
        <v>70</v>
      </c>
      <c r="N24" s="67" t="s">
        <v>70</v>
      </c>
      <c r="O24" s="67" t="s">
        <v>70</v>
      </c>
      <c r="P24" s="68" t="n">
        <f aca="false">MAX('Grilles et calculs individuels'!J25*VLOOKUP($H24,'données complémentaires'!$A$2:$D$73,4,0)-VLOOKUP($H24,'données complémentaires'!$A$3:$G$73,6,0), 0)*VLOOKUP($H24,$A$3:$D$73,4,0)/VLOOKUP($H24,$A$3:$D$73,2,0)</f>
        <v>8.63262553914142</v>
      </c>
      <c r="Q24" s="23"/>
    </row>
    <row r="25" customFormat="false" ht="12.8" hidden="false" customHeight="false" outlineLevel="0" collapsed="false">
      <c r="A25" s="64" t="n">
        <v>2018</v>
      </c>
      <c r="B25" s="65" t="n">
        <v>5.3075</v>
      </c>
      <c r="C25" s="66" t="n">
        <f aca="false">('calculs agirc'!B25-'calculs agirc'!B26)/'calculs agirc'!B26</f>
        <v>0</v>
      </c>
      <c r="D25" s="66" t="n">
        <f aca="false">0.16344-'données complémentaires'!L25</f>
        <v>0.15804</v>
      </c>
      <c r="G25" s="0" t="n">
        <v>23</v>
      </c>
      <c r="H25" s="54" t="n">
        <f aca="false">'Grilles et calculs individuels'!$K$74-G25</f>
        <v>1992</v>
      </c>
      <c r="I25" s="67" t="s">
        <v>70</v>
      </c>
      <c r="J25" s="68" t="n">
        <f aca="false">MAX('Grilles et calculs individuels'!D26*VLOOKUP($H25,'données complémentaires'!$A$2:$D$73,4,0)-VLOOKUP($H25,'données complémentaires'!$A$3:$G$73,6,0), 0)*VLOOKUP($H25,$A$3:$D$73,4,0)/VLOOKUP($H25,$A$3:$D$73,2,0)</f>
        <v>105.492520940761</v>
      </c>
      <c r="K25" s="68" t="n">
        <f aca="false">MAX('Grilles et calculs individuels'!E26*VLOOKUP($H25,'données complémentaires'!$A$2:$D$73,4,0)-VLOOKUP($H25,'données complémentaires'!$A$3:$G$73,6,0), 0)*VLOOKUP($H25,$A$3:$D$73,4,0)/VLOOKUP($H25,$A$3:$D$73,2,0)</f>
        <v>50.8467466391004</v>
      </c>
      <c r="L25" s="68" t="n">
        <f aca="false">MAX('Grilles et calculs individuels'!F26*VLOOKUP($H25,'données complémentaires'!$A$2:$D$73,4,0)-VLOOKUP($H25,'données complémentaires'!$A$3:$G$73,6,0), 0)*VLOOKUP($H25,$A$3:$D$73,4,0)/VLOOKUP($H25,$A$3:$D$73,2,0)</f>
        <v>17.0477377133784</v>
      </c>
      <c r="M25" s="67" t="s">
        <v>70</v>
      </c>
      <c r="N25" s="67" t="s">
        <v>70</v>
      </c>
      <c r="O25" s="67" t="s">
        <v>70</v>
      </c>
      <c r="P25" s="68" t="n">
        <f aca="false">MAX('Grilles et calculs individuels'!J26*VLOOKUP($H25,'données complémentaires'!$A$2:$D$73,4,0)-VLOOKUP($H25,'données complémentaires'!$A$3:$G$73,6,0), 0)*VLOOKUP($H25,$A$3:$D$73,4,0)/VLOOKUP($H25,$A$3:$D$73,2,0)</f>
        <v>9.76122651012223</v>
      </c>
      <c r="Q25" s="23"/>
    </row>
    <row r="26" customFormat="false" ht="12.8" hidden="false" customHeight="false" outlineLevel="0" collapsed="false">
      <c r="A26" s="54" t="n">
        <v>2017</v>
      </c>
      <c r="B26" s="69" t="n">
        <v>5.3075</v>
      </c>
      <c r="C26" s="70" t="n">
        <f aca="false">('calculs agirc'!B26-'calculs agirc'!B27)/'calculs agirc'!B27</f>
        <v>0</v>
      </c>
      <c r="D26" s="70" t="n">
        <f aca="false">0.16344-'données complémentaires'!L26</f>
        <v>0.15534</v>
      </c>
      <c r="G26" s="0" t="n">
        <v>24</v>
      </c>
      <c r="H26" s="54" t="n">
        <f aca="false">'Grilles et calculs individuels'!$K$74-G26</f>
        <v>1991</v>
      </c>
      <c r="I26" s="67" t="s">
        <v>70</v>
      </c>
      <c r="J26" s="68" t="n">
        <f aca="false">MAX('Grilles et calculs individuels'!D27*VLOOKUP($H26,'données complémentaires'!$A$2:$D$73,4,0)-VLOOKUP($H26,'données complémentaires'!$A$3:$G$73,6,0), 0)*VLOOKUP($H26,$A$3:$D$73,4,0)/VLOOKUP($H26,$A$3:$D$73,2,0)</f>
        <v>106.895995975135</v>
      </c>
      <c r="K26" s="68" t="n">
        <f aca="false">MAX('Grilles et calculs individuels'!E27*VLOOKUP($H26,'données complémentaires'!$A$2:$D$73,4,0)-VLOOKUP($H26,'données complémentaires'!$A$3:$G$73,6,0), 0)*VLOOKUP($H26,$A$3:$D$73,4,0)/VLOOKUP($H26,$A$3:$D$73,2,0)</f>
        <v>52.446112676895</v>
      </c>
      <c r="L26" s="68" t="n">
        <f aca="false">MAX('Grilles et calculs individuels'!F27*VLOOKUP($H26,'données complémentaires'!$A$2:$D$73,4,0)-VLOOKUP($H26,'données complémentaires'!$A$3:$G$73,6,0), 0)*VLOOKUP($H26,$A$3:$D$73,4,0)/VLOOKUP($H26,$A$3:$D$73,2,0)</f>
        <v>18.7682644787443</v>
      </c>
      <c r="M26" s="67" t="s">
        <v>70</v>
      </c>
      <c r="N26" s="67" t="s">
        <v>70</v>
      </c>
      <c r="O26" s="67" t="s">
        <v>70</v>
      </c>
      <c r="P26" s="68" t="n">
        <f aca="false">MAX('Grilles et calculs individuels'!J27*VLOOKUP($H26,'données complémentaires'!$A$2:$D$73,4,0)-VLOOKUP($H26,'données complémentaires'!$A$3:$G$73,6,0), 0)*VLOOKUP($H26,$A$3:$D$73,4,0)/VLOOKUP($H26,$A$3:$D$73,2,0)</f>
        <v>4.24791813437767</v>
      </c>
      <c r="Q26" s="23"/>
    </row>
    <row r="27" customFormat="false" ht="12.8" hidden="false" customHeight="false" outlineLevel="0" collapsed="false">
      <c r="A27" s="64" t="n">
        <v>2016</v>
      </c>
      <c r="B27" s="65" t="n">
        <v>5.3075</v>
      </c>
      <c r="C27" s="66" t="n">
        <f aca="false">('calculs agirc'!B27-'calculs agirc'!B28)/'calculs agirc'!B28</f>
        <v>0</v>
      </c>
      <c r="D27" s="66" t="n">
        <f aca="false">0.16344-'données complémentaires'!L27</f>
        <v>0.15184</v>
      </c>
      <c r="G27" s="0" t="n">
        <v>25</v>
      </c>
      <c r="H27" s="54" t="n">
        <f aca="false">'Grilles et calculs individuels'!$K$74-G27</f>
        <v>1990</v>
      </c>
      <c r="I27" s="67" t="s">
        <v>70</v>
      </c>
      <c r="J27" s="68" t="n">
        <f aca="false">MAX('Grilles et calculs individuels'!D28*VLOOKUP($H27,'données complémentaires'!$A$2:$D$73,4,0)-VLOOKUP($H27,'données complémentaires'!$A$3:$G$73,6,0), 0)*VLOOKUP($H27,$A$3:$D$73,4,0)/VLOOKUP($H27,$A$3:$D$73,2,0)</f>
        <v>109.943352001758</v>
      </c>
      <c r="K27" s="68" t="n">
        <f aca="false">MAX('Grilles et calculs individuels'!E28*VLOOKUP($H27,'données complémentaires'!$A$2:$D$73,4,0)-VLOOKUP($H27,'données complémentaires'!$A$3:$G$73,6,0), 0)*VLOOKUP($H27,$A$3:$D$73,4,0)/VLOOKUP($H27,$A$3:$D$73,2,0)</f>
        <v>59.9893770360143</v>
      </c>
      <c r="L27" s="68" t="n">
        <f aca="false">MAX('Grilles et calculs individuels'!F28*VLOOKUP($H27,'données complémentaires'!$A$2:$D$73,4,0)-VLOOKUP($H27,'données complémentaires'!$A$3:$G$73,6,0), 0)*VLOOKUP($H27,$A$3:$D$73,4,0)/VLOOKUP($H27,$A$3:$D$73,2,0)</f>
        <v>23.5605795349665</v>
      </c>
      <c r="M27" s="67" t="s">
        <v>70</v>
      </c>
      <c r="N27" s="67" t="s">
        <v>70</v>
      </c>
      <c r="O27" s="67" t="s">
        <v>70</v>
      </c>
      <c r="P27" s="68" t="n">
        <f aca="false">MAX('Grilles et calculs individuels'!J28*VLOOKUP($H27,'données complémentaires'!$A$2:$D$73,4,0)-VLOOKUP($H27,'données complémentaires'!$A$3:$G$73,6,0), 0)*VLOOKUP($H27,$A$3:$D$73,4,0)/VLOOKUP($H27,$A$3:$D$73,2,0)</f>
        <v>7.85414979183775</v>
      </c>
      <c r="Q27" s="23"/>
    </row>
    <row r="28" customFormat="false" ht="12.8" hidden="false" customHeight="false" outlineLevel="0" collapsed="false">
      <c r="A28" s="54" t="n">
        <v>2015</v>
      </c>
      <c r="B28" s="69" t="n">
        <v>5.3075</v>
      </c>
      <c r="C28" s="70" t="n">
        <f aca="false">('calculs agirc'!B28-'calculs agirc'!B29)/'calculs agirc'!B29</f>
        <v>0</v>
      </c>
      <c r="D28" s="70" t="n">
        <f aca="false">0.16344-'données complémentaires'!L28</f>
        <v>0.14834</v>
      </c>
      <c r="G28" s="0" t="n">
        <v>26</v>
      </c>
      <c r="H28" s="54" t="n">
        <f aca="false">'Grilles et calculs individuels'!$K$74-G28</f>
        <v>1989</v>
      </c>
      <c r="I28" s="67" t="s">
        <v>70</v>
      </c>
      <c r="J28" s="68" t="n">
        <f aca="false">MAX('Grilles et calculs individuels'!D29*VLOOKUP($H28,'données complémentaires'!$A$2:$D$73,4,0)-VLOOKUP($H28,'données complémentaires'!$A$3:$G$73,6,0), 0)*VLOOKUP($H28,$A$3:$D$73,4,0)/VLOOKUP($H28,$A$3:$D$73,2,0)</f>
        <v>107.081611411618</v>
      </c>
      <c r="K28" s="68" t="n">
        <f aca="false">MAX('Grilles et calculs individuels'!E29*VLOOKUP($H28,'données complémentaires'!$A$2:$D$73,4,0)-VLOOKUP($H28,'données complémentaires'!$A$3:$G$73,6,0), 0)*VLOOKUP($H28,$A$3:$D$73,4,0)/VLOOKUP($H28,$A$3:$D$73,2,0)</f>
        <v>48.8720128777781</v>
      </c>
      <c r="L28" s="68" t="n">
        <f aca="false">MAX('Grilles et calculs individuels'!F29*VLOOKUP($H28,'données complémentaires'!$A$2:$D$73,4,0)-VLOOKUP($H28,'données complémentaires'!$A$3:$G$73,6,0), 0)*VLOOKUP($H28,$A$3:$D$73,4,0)/VLOOKUP($H28,$A$3:$D$73,2,0)</f>
        <v>16.9503439647361</v>
      </c>
      <c r="M28" s="67" t="s">
        <v>70</v>
      </c>
      <c r="N28" s="67" t="s">
        <v>70</v>
      </c>
      <c r="O28" s="67" t="s">
        <v>70</v>
      </c>
      <c r="P28" s="68" t="n">
        <f aca="false">MAX('Grilles et calculs individuels'!J29*VLOOKUP($H28,'données complémentaires'!$A$2:$D$73,4,0)-VLOOKUP($H28,'données complémentaires'!$A$3:$G$73,6,0), 0)*VLOOKUP($H28,$A$3:$D$73,4,0)/VLOOKUP($H28,$A$3:$D$73,2,0)</f>
        <v>9.43944256007939</v>
      </c>
      <c r="Q28" s="23"/>
    </row>
    <row r="29" customFormat="false" ht="12.8" hidden="false" customHeight="false" outlineLevel="0" collapsed="false">
      <c r="A29" s="64" t="n">
        <v>2014</v>
      </c>
      <c r="B29" s="65" t="n">
        <v>5.3075</v>
      </c>
      <c r="C29" s="66" t="n">
        <f aca="false">('calculs agirc'!B29-'calculs agirc'!B30)/'calculs agirc'!B30</f>
        <v>0.00130173942572537</v>
      </c>
      <c r="D29" s="66" t="n">
        <f aca="false">0.16344-'données complémentaires'!L29</f>
        <v>0.14584</v>
      </c>
      <c r="G29" s="0" t="n">
        <v>27</v>
      </c>
      <c r="H29" s="54" t="n">
        <f aca="false">'Grilles et calculs individuels'!$K$74-G29</f>
        <v>1988</v>
      </c>
      <c r="I29" s="67" t="s">
        <v>70</v>
      </c>
      <c r="J29" s="68" t="n">
        <f aca="false">MAX('Grilles et calculs individuels'!D30*VLOOKUP($H29,'données complémentaires'!$A$2:$D$73,4,0)-VLOOKUP($H29,'données complémentaires'!$A$3:$G$73,6,0), 0)*VLOOKUP($H29,$A$3:$D$73,4,0)/VLOOKUP($H29,$A$3:$D$73,2,0)</f>
        <v>104.839403662504</v>
      </c>
      <c r="K29" s="68" t="n">
        <f aca="false">MAX('Grilles et calculs individuels'!E30*VLOOKUP($H29,'données complémentaires'!$A$2:$D$73,4,0)-VLOOKUP($H29,'données complémentaires'!$A$3:$G$73,6,0), 0)*VLOOKUP($H29,$A$3:$D$73,4,0)/VLOOKUP($H29,$A$3:$D$73,2,0)</f>
        <v>48.8152324995126</v>
      </c>
      <c r="L29" s="68" t="n">
        <f aca="false">MAX('Grilles et calculs individuels'!F30*VLOOKUP($H29,'données complémentaires'!$A$2:$D$73,4,0)-VLOOKUP($H29,'données complémentaires'!$A$3:$G$73,6,0), 0)*VLOOKUP($H29,$A$3:$D$73,4,0)/VLOOKUP($H29,$A$3:$D$73,2,0)</f>
        <v>18.0920341260875</v>
      </c>
      <c r="M29" s="67" t="s">
        <v>70</v>
      </c>
      <c r="N29" s="67" t="s">
        <v>70</v>
      </c>
      <c r="O29" s="67" t="s">
        <v>70</v>
      </c>
      <c r="P29" s="68" t="n">
        <f aca="false">MAX('Grilles et calculs individuels'!J30*VLOOKUP($H29,'données complémentaires'!$A$2:$D$73,4,0)-VLOOKUP($H29,'données complémentaires'!$A$3:$G$73,6,0), 0)*VLOOKUP($H29,$A$3:$D$73,4,0)/VLOOKUP($H29,$A$3:$D$73,2,0)</f>
        <v>5.24097352251194</v>
      </c>
      <c r="Q29" s="23"/>
    </row>
    <row r="30" customFormat="false" ht="12.8" hidden="false" customHeight="false" outlineLevel="0" collapsed="false">
      <c r="A30" s="54" t="n">
        <v>2013</v>
      </c>
      <c r="B30" s="69" t="n">
        <v>5.3006</v>
      </c>
      <c r="C30" s="70" t="n">
        <f aca="false">('calculs agirc'!B30-'calculs agirc'!B31)/'calculs agirc'!B31</f>
        <v>0.00946504408768031</v>
      </c>
      <c r="D30" s="70" t="n">
        <f aca="false">0.16344-'données complémentaires'!L30</f>
        <v>0.14454</v>
      </c>
      <c r="G30" s="0" t="n">
        <v>28</v>
      </c>
      <c r="H30" s="54" t="n">
        <f aca="false">'Grilles et calculs individuels'!$K$74-G30</f>
        <v>1987</v>
      </c>
      <c r="I30" s="67" t="s">
        <v>70</v>
      </c>
      <c r="J30" s="68" t="n">
        <f aca="false">MAX('Grilles et calculs individuels'!D31*VLOOKUP($H30,'données complémentaires'!$A$2:$D$73,4,0)-VLOOKUP($H30,'données complémentaires'!$A$3:$G$73,6,0), 0)*VLOOKUP($H30,$A$3:$D$73,4,0)/VLOOKUP($H30,$A$3:$D$73,2,0)</f>
        <v>115.515560043762</v>
      </c>
      <c r="K30" s="68" t="n">
        <f aca="false">MAX('Grilles et calculs individuels'!E31*VLOOKUP($H30,'données complémentaires'!$A$2:$D$73,4,0)-VLOOKUP($H30,'données complémentaires'!$A$3:$G$73,6,0), 0)*VLOOKUP($H30,$A$3:$D$73,4,0)/VLOOKUP($H30,$A$3:$D$73,2,0)</f>
        <v>54.2966917993426</v>
      </c>
      <c r="L30" s="68" t="n">
        <f aca="false">MAX('Grilles et calculs individuels'!F31*VLOOKUP($H30,'données complémentaires'!$A$2:$D$73,4,0)-VLOOKUP($H30,'données complémentaires'!$A$3:$G$73,6,0), 0)*VLOOKUP($H30,$A$3:$D$73,4,0)/VLOOKUP($H30,$A$3:$D$73,2,0)</f>
        <v>20.7247639291749</v>
      </c>
      <c r="M30" s="67" t="s">
        <v>70</v>
      </c>
      <c r="N30" s="67" t="s">
        <v>70</v>
      </c>
      <c r="O30" s="67" t="s">
        <v>70</v>
      </c>
      <c r="P30" s="68" t="n">
        <f aca="false">MAX('Grilles et calculs individuels'!J31*VLOOKUP($H30,'données complémentaires'!$A$2:$D$73,4,0)-VLOOKUP($H30,'données complémentaires'!$A$3:$G$73,6,0), 0)*VLOOKUP($H30,$A$3:$D$73,4,0)/VLOOKUP($H30,$A$3:$D$73,2,0)</f>
        <v>6.68212180596497</v>
      </c>
      <c r="Q30" s="23"/>
    </row>
    <row r="31" customFormat="false" ht="12.8" hidden="false" customHeight="false" outlineLevel="0" collapsed="false">
      <c r="A31" s="64" t="n">
        <v>2012</v>
      </c>
      <c r="B31" s="65" t="n">
        <v>5.2509</v>
      </c>
      <c r="C31" s="66" t="n">
        <f aca="false">('calculs agirc'!B31-'calculs agirc'!B32)/'calculs agirc'!B32</f>
        <v>0.0224909452038789</v>
      </c>
      <c r="D31" s="66" t="n">
        <f aca="false">0.16344-'données complémentaires'!L31</f>
        <v>0.14184</v>
      </c>
      <c r="G31" s="0" t="n">
        <v>29</v>
      </c>
      <c r="H31" s="54" t="n">
        <f aca="false">'Grilles et calculs individuels'!$K$74-G31</f>
        <v>1986</v>
      </c>
      <c r="I31" s="67" t="s">
        <v>70</v>
      </c>
      <c r="J31" s="68" t="n">
        <f aca="false">MAX('Grilles et calculs individuels'!D32*VLOOKUP($H31,'données complémentaires'!$A$2:$D$73,4,0)-VLOOKUP($H31,'données complémentaires'!$A$3:$G$73,6,0), 0)*VLOOKUP($H31,$A$3:$D$73,4,0)/VLOOKUP($H31,$A$3:$D$73,2,0)</f>
        <v>119.855452257383</v>
      </c>
      <c r="K31" s="68" t="n">
        <f aca="false">MAX('Grilles et calculs individuels'!E32*VLOOKUP($H31,'données complémentaires'!$A$2:$D$73,4,0)-VLOOKUP($H31,'données complémentaires'!$A$3:$G$73,6,0), 0)*VLOOKUP($H31,$A$3:$D$73,4,0)/VLOOKUP($H31,$A$3:$D$73,2,0)</f>
        <v>57.7651139837762</v>
      </c>
      <c r="L31" s="68" t="n">
        <f aca="false">MAX('Grilles et calculs individuels'!F32*VLOOKUP($H31,'données complémentaires'!$A$2:$D$73,4,0)-VLOOKUP($H31,'données complémentaires'!$A$3:$G$73,6,0), 0)*VLOOKUP($H31,$A$3:$D$73,4,0)/VLOOKUP($H31,$A$3:$D$73,2,0)</f>
        <v>23.7152790597881</v>
      </c>
      <c r="M31" s="67" t="s">
        <v>70</v>
      </c>
      <c r="N31" s="67" t="s">
        <v>70</v>
      </c>
      <c r="O31" s="67" t="s">
        <v>70</v>
      </c>
      <c r="P31" s="68" t="n">
        <f aca="false">MAX('Grilles et calculs individuels'!J32*VLOOKUP($H31,'données complémentaires'!$A$2:$D$73,4,0)-VLOOKUP($H31,'données complémentaires'!$A$3:$G$73,6,0), 0)*VLOOKUP($H31,$A$3:$D$73,4,0)/VLOOKUP($H31,$A$3:$D$73,2,0)</f>
        <v>9.47273546678741</v>
      </c>
      <c r="Q31" s="23"/>
    </row>
    <row r="32" customFormat="false" ht="12.8" hidden="false" customHeight="false" outlineLevel="0" collapsed="false">
      <c r="A32" s="54" t="n">
        <v>2011</v>
      </c>
      <c r="B32" s="69" t="n">
        <v>5.1354</v>
      </c>
      <c r="C32" s="70" t="n">
        <f aca="false">('calculs agirc'!B32-'calculs agirc'!B33)/'calculs agirc'!B33</f>
        <v>0.0219904873728831</v>
      </c>
      <c r="D32" s="70" t="n">
        <f aca="false">0.16344-'données complémentaires'!L32</f>
        <v>0.13794</v>
      </c>
      <c r="G32" s="0" t="n">
        <v>30</v>
      </c>
      <c r="H32" s="54" t="n">
        <f aca="false">'Grilles et calculs individuels'!$K$74-G32</f>
        <v>1985</v>
      </c>
      <c r="I32" s="67" t="s">
        <v>70</v>
      </c>
      <c r="J32" s="68" t="n">
        <f aca="false">MAX('Grilles et calculs individuels'!D33*VLOOKUP($H32,'données complémentaires'!$A$2:$D$73,4,0)-VLOOKUP($H32,'données complémentaires'!$A$3:$G$73,6,0), 0)*VLOOKUP($H32,$A$3:$D$73,4,0)/VLOOKUP($H32,$A$3:$D$73,2,0)</f>
        <v>120.982959025103</v>
      </c>
      <c r="K32" s="68" t="n">
        <f aca="false">MAX('Grilles et calculs individuels'!E33*VLOOKUP($H32,'données complémentaires'!$A$2:$D$73,4,0)-VLOOKUP($H32,'données complémentaires'!$A$3:$G$73,6,0), 0)*VLOOKUP($H32,$A$3:$D$73,4,0)/VLOOKUP($H32,$A$3:$D$73,2,0)</f>
        <v>49.0496598825364</v>
      </c>
      <c r="L32" s="68" t="n">
        <f aca="false">MAX('Grilles et calculs individuels'!F33*VLOOKUP($H32,'données complémentaires'!$A$2:$D$73,4,0)-VLOOKUP($H32,'données complémentaires'!$A$3:$G$73,6,0), 0)*VLOOKUP($H32,$A$3:$D$73,4,0)/VLOOKUP($H32,$A$3:$D$73,2,0)</f>
        <v>18.3458737130602</v>
      </c>
      <c r="M32" s="67" t="s">
        <v>70</v>
      </c>
      <c r="N32" s="67" t="s">
        <v>70</v>
      </c>
      <c r="O32" s="67" t="s">
        <v>70</v>
      </c>
      <c r="P32" s="68" t="n">
        <f aca="false">MAX('Grilles et calculs individuels'!J33*VLOOKUP($H32,'données complémentaires'!$A$2:$D$73,4,0)-VLOOKUP($H32,'données complémentaires'!$A$3:$G$73,6,0), 0)*VLOOKUP($H32,$A$3:$D$73,4,0)/VLOOKUP($H32,$A$3:$D$73,2,0)</f>
        <v>10.2314538957757</v>
      </c>
      <c r="Q32" s="23"/>
    </row>
    <row r="33" customFormat="false" ht="12.8" hidden="false" customHeight="false" outlineLevel="0" collapsed="false">
      <c r="A33" s="64" t="n">
        <v>2010</v>
      </c>
      <c r="B33" s="65" t="n">
        <v>5.0249</v>
      </c>
      <c r="C33" s="66" t="n">
        <f aca="false">('calculs agirc'!B33-'calculs agirc'!B34)/'calculs agirc'!B34</f>
        <v>0.0130029836303523</v>
      </c>
      <c r="D33" s="66" t="n">
        <f aca="false">0.16344-'données complémentaires'!L33</f>
        <v>0.13644</v>
      </c>
      <c r="G33" s="0" t="n">
        <v>31</v>
      </c>
      <c r="H33" s="54" t="n">
        <f aca="false">'Grilles et calculs individuels'!$K$74-G33</f>
        <v>1984</v>
      </c>
      <c r="I33" s="67" t="s">
        <v>70</v>
      </c>
      <c r="J33" s="68" t="n">
        <f aca="false">MAX('Grilles et calculs individuels'!D34*VLOOKUP($H33,'données complémentaires'!$A$2:$D$73,4,0)-VLOOKUP($H33,'données complémentaires'!$A$3:$G$73,6,0), 0)*VLOOKUP($H33,$A$3:$D$73,4,0)/VLOOKUP($H33,$A$3:$D$73,2,0)</f>
        <v>120.930396359292</v>
      </c>
      <c r="K33" s="68" t="n">
        <f aca="false">MAX('Grilles et calculs individuels'!E34*VLOOKUP($H33,'données complémentaires'!$A$2:$D$73,4,0)-VLOOKUP($H33,'données complémentaires'!$A$3:$G$73,6,0), 0)*VLOOKUP($H33,$A$3:$D$73,4,0)/VLOOKUP($H33,$A$3:$D$73,2,0)</f>
        <v>54.9225228577597</v>
      </c>
      <c r="L33" s="68" t="n">
        <f aca="false">MAX('Grilles et calculs individuels'!F34*VLOOKUP($H33,'données complémentaires'!$A$2:$D$73,4,0)-VLOOKUP($H33,'données complémentaires'!$A$3:$G$73,6,0), 0)*VLOOKUP($H33,$A$3:$D$73,4,0)/VLOOKUP($H33,$A$3:$D$73,2,0)</f>
        <v>22.0355232978697</v>
      </c>
      <c r="M33" s="67" t="s">
        <v>70</v>
      </c>
      <c r="N33" s="67" t="s">
        <v>70</v>
      </c>
      <c r="O33" s="67" t="s">
        <v>70</v>
      </c>
      <c r="P33" s="68" t="n">
        <f aca="false">MAX('Grilles et calculs individuels'!J34*VLOOKUP($H33,'données complémentaires'!$A$2:$D$73,4,0)-VLOOKUP($H33,'données complémentaires'!$A$3:$G$73,6,0), 0)*VLOOKUP($H33,$A$3:$D$73,4,0)/VLOOKUP($H33,$A$3:$D$73,2,0)</f>
        <v>13.3441221955167</v>
      </c>
      <c r="Q33" s="23"/>
    </row>
    <row r="34" customFormat="false" ht="12.8" hidden="false" customHeight="false" outlineLevel="0" collapsed="false">
      <c r="A34" s="54" t="n">
        <v>2009</v>
      </c>
      <c r="B34" s="69" t="n">
        <v>4.9604</v>
      </c>
      <c r="C34" s="70" t="n">
        <f aca="false">('calculs agirc'!B34-'calculs agirc'!B35)/'calculs agirc'!B35</f>
        <v>0.0179982350647485</v>
      </c>
      <c r="D34" s="70" t="n">
        <f aca="false">0.16344-'données complémentaires'!L34</f>
        <v>0.13644</v>
      </c>
      <c r="G34" s="0" t="n">
        <v>32</v>
      </c>
      <c r="H34" s="54" t="n">
        <f aca="false">'Grilles et calculs individuels'!$K$74-G34</f>
        <v>1983</v>
      </c>
      <c r="I34" s="67" t="s">
        <v>70</v>
      </c>
      <c r="J34" s="68" t="n">
        <f aca="false">MAX('Grilles et calculs individuels'!D35*VLOOKUP($H34,'données complémentaires'!$A$2:$D$73,4,0)-VLOOKUP($H34,'données complémentaires'!$A$3:$G$73,6,0), 0)*VLOOKUP($H34,$A$3:$D$73,4,0)/VLOOKUP($H34,$A$3:$D$73,2,0)</f>
        <v>110.339016836264</v>
      </c>
      <c r="K34" s="68" t="n">
        <f aca="false">MAX('Grilles et calculs individuels'!E35*VLOOKUP($H34,'données complémentaires'!$A$2:$D$73,4,0)-VLOOKUP($H34,'données complémentaires'!$A$3:$G$73,6,0), 0)*VLOOKUP($H34,$A$3:$D$73,4,0)/VLOOKUP($H34,$A$3:$D$73,2,0)</f>
        <v>49.9374824280612</v>
      </c>
      <c r="L34" s="68" t="n">
        <f aca="false">MAX('Grilles et calculs individuels'!F35*VLOOKUP($H34,'données complémentaires'!$A$2:$D$73,4,0)-VLOOKUP($H34,'données complémentaires'!$A$3:$G$73,6,0), 0)*VLOOKUP($H34,$A$3:$D$73,4,0)/VLOOKUP($H34,$A$3:$D$73,2,0)</f>
        <v>19.8437204247581</v>
      </c>
      <c r="M34" s="67" t="s">
        <v>70</v>
      </c>
      <c r="N34" s="67" t="s">
        <v>70</v>
      </c>
      <c r="O34" s="67" t="s">
        <v>70</v>
      </c>
      <c r="P34" s="68" t="n">
        <f aca="false">MAX('Grilles et calculs individuels'!J35*VLOOKUP($H34,'données complémentaires'!$A$2:$D$73,4,0)-VLOOKUP($H34,'données complémentaires'!$A$3:$G$73,6,0), 0)*VLOOKUP($H34,$A$3:$D$73,4,0)/VLOOKUP($H34,$A$3:$D$73,2,0)</f>
        <v>11.8905182552157</v>
      </c>
      <c r="Q34" s="23"/>
    </row>
    <row r="35" customFormat="false" ht="12.8" hidden="false" customHeight="false" outlineLevel="0" collapsed="false">
      <c r="A35" s="64" t="n">
        <v>2008</v>
      </c>
      <c r="B35" s="65" t="n">
        <v>4.8727</v>
      </c>
      <c r="C35" s="66" t="n">
        <f aca="false">('calculs agirc'!B35-'calculs agirc'!B36)/'calculs agirc'!B36</f>
        <v>0.0339946949602121</v>
      </c>
      <c r="D35" s="66" t="n">
        <f aca="false">0.16344-'données complémentaires'!L35</f>
        <v>0.13644</v>
      </c>
      <c r="G35" s="0" t="n">
        <v>33</v>
      </c>
      <c r="H35" s="54" t="n">
        <f aca="false">'Grilles et calculs individuels'!$K$74-G35</f>
        <v>1982</v>
      </c>
      <c r="I35" s="67" t="s">
        <v>70</v>
      </c>
      <c r="J35" s="68" t="n">
        <f aca="false">MAX('Grilles et calculs individuels'!D36*VLOOKUP($H35,'données complémentaires'!$A$2:$D$73,4,0)-VLOOKUP($H35,'données complémentaires'!$A$3:$G$73,6,0), 0)*VLOOKUP($H35,$A$3:$D$73,4,0)/VLOOKUP($H35,$A$3:$D$73,2,0)</f>
        <v>114.973922515682</v>
      </c>
      <c r="K35" s="68" t="n">
        <f aca="false">MAX('Grilles et calculs individuels'!E36*VLOOKUP($H35,'données complémentaires'!$A$2:$D$73,4,0)-VLOOKUP($H35,'données complémentaires'!$A$3:$G$73,6,0), 0)*VLOOKUP($H35,$A$3:$D$73,4,0)/VLOOKUP($H35,$A$3:$D$73,2,0)</f>
        <v>43.9789711952587</v>
      </c>
      <c r="L35" s="68" t="n">
        <f aca="false">MAX('Grilles et calculs individuels'!F36*VLOOKUP($H35,'données complémentaires'!$A$2:$D$73,4,0)-VLOOKUP($H35,'données complémentaires'!$A$3:$G$73,6,0), 0)*VLOOKUP($H35,$A$3:$D$73,4,0)/VLOOKUP($H35,$A$3:$D$73,2,0)</f>
        <v>16.2847738886116</v>
      </c>
      <c r="M35" s="67" t="s">
        <v>70</v>
      </c>
      <c r="N35" s="67" t="s">
        <v>70</v>
      </c>
      <c r="O35" s="67" t="s">
        <v>70</v>
      </c>
      <c r="P35" s="68" t="n">
        <f aca="false">MAX('Grilles et calculs individuels'!J36*VLOOKUP($H35,'données complémentaires'!$A$2:$D$73,4,0)-VLOOKUP($H35,'données complémentaires'!$A$3:$G$73,6,0), 0)*VLOOKUP($H35,$A$3:$D$73,4,0)/VLOOKUP($H35,$A$3:$D$73,2,0)</f>
        <v>11.4490530754131</v>
      </c>
      <c r="Q35" s="23"/>
    </row>
    <row r="36" customFormat="false" ht="12.8" hidden="false" customHeight="false" outlineLevel="0" collapsed="false">
      <c r="A36" s="54" t="n">
        <v>2007</v>
      </c>
      <c r="B36" s="69" t="n">
        <v>4.7125</v>
      </c>
      <c r="C36" s="70" t="n">
        <f aca="false">('calculs agirc'!B36-'calculs agirc'!B37)/'calculs agirc'!B37</f>
        <v>0.0369905818149813</v>
      </c>
      <c r="D36" s="70" t="n">
        <f aca="false">0.16344-'données complémentaires'!L36</f>
        <v>0.13644</v>
      </c>
      <c r="G36" s="0" t="n">
        <v>34</v>
      </c>
      <c r="H36" s="54" t="n">
        <f aca="false">'Grilles et calculs individuels'!$K$74-G36</f>
        <v>1981</v>
      </c>
      <c r="I36" s="67" t="s">
        <v>70</v>
      </c>
      <c r="J36" s="68" t="n">
        <f aca="false">MAX('Grilles et calculs individuels'!D37*VLOOKUP($H36,'données complémentaires'!$A$2:$D$73,4,0)-VLOOKUP($H36,'données complémentaires'!$A$3:$G$73,6,0), 0)*VLOOKUP($H36,$A$3:$D$73,4,0)/VLOOKUP($H36,$A$3:$D$73,2,0)</f>
        <v>97.7237980829623</v>
      </c>
      <c r="K36" s="68" t="n">
        <f aca="false">MAX('Grilles et calculs individuels'!E37*VLOOKUP($H36,'données complémentaires'!$A$2:$D$73,4,0)-VLOOKUP($H36,'données complémentaires'!$A$3:$G$73,6,0), 0)*VLOOKUP($H36,$A$3:$D$73,4,0)/VLOOKUP($H36,$A$3:$D$73,2,0)</f>
        <v>48.2407963226666</v>
      </c>
      <c r="L36" s="68" t="n">
        <f aca="false">MAX('Grilles et calculs individuels'!F37*VLOOKUP($H36,'données complémentaires'!$A$2:$D$73,4,0)-VLOOKUP($H36,'données complémentaires'!$A$3:$G$73,6,0), 0)*VLOOKUP($H36,$A$3:$D$73,4,0)/VLOOKUP($H36,$A$3:$D$73,2,0)</f>
        <v>20.8953339731823</v>
      </c>
      <c r="M36" s="67" t="s">
        <v>70</v>
      </c>
      <c r="N36" s="67" t="s">
        <v>70</v>
      </c>
      <c r="O36" s="67" t="s">
        <v>70</v>
      </c>
      <c r="P36" s="68" t="n">
        <f aca="false">MAX('Grilles et calculs individuels'!J37*VLOOKUP($H36,'données complémentaires'!$A$2:$D$73,4,0)-VLOOKUP($H36,'données complémentaires'!$A$3:$G$73,6,0), 0)*VLOOKUP($H36,$A$3:$D$73,4,0)/VLOOKUP($H36,$A$3:$D$73,2,0)</f>
        <v>16.1205062370413</v>
      </c>
      <c r="Q36" s="23"/>
    </row>
    <row r="37" customFormat="false" ht="12.8" hidden="false" customHeight="false" outlineLevel="0" collapsed="false">
      <c r="A37" s="64" t="n">
        <v>2006</v>
      </c>
      <c r="B37" s="65" t="n">
        <v>4.5444</v>
      </c>
      <c r="C37" s="66" t="n">
        <f aca="false">('calculs agirc'!B37-'calculs agirc'!B38)/'calculs agirc'!B38</f>
        <v>0.0290061816452686</v>
      </c>
      <c r="D37" s="66" t="n">
        <f aca="false">0.16344-'données complémentaires'!L37</f>
        <v>0.13644</v>
      </c>
      <c r="G37" s="0" t="n">
        <v>35</v>
      </c>
      <c r="H37" s="54" t="n">
        <f aca="false">'Grilles et calculs individuels'!$K$74-G37</f>
        <v>1980</v>
      </c>
      <c r="I37" s="67" t="s">
        <v>70</v>
      </c>
      <c r="J37" s="68" t="n">
        <f aca="false">MAX('Grilles et calculs individuels'!D38*VLOOKUP($H37,'données complémentaires'!$A$2:$D$73,4,0)-VLOOKUP($H37,'données complémentaires'!$A$3:$G$73,6,0), 0)*VLOOKUP($H37,$A$3:$D$73,4,0)/VLOOKUP($H37,$A$3:$D$73,2,0)</f>
        <v>96.7925499361501</v>
      </c>
      <c r="K37" s="68" t="n">
        <f aca="false">MAX('Grilles et calculs individuels'!E38*VLOOKUP($H37,'données complémentaires'!$A$2:$D$73,4,0)-VLOOKUP($H37,'données complémentaires'!$A$3:$G$73,6,0), 0)*VLOOKUP($H37,$A$3:$D$73,4,0)/VLOOKUP($H37,$A$3:$D$73,2,0)</f>
        <v>47.9285575914932</v>
      </c>
      <c r="L37" s="68" t="n">
        <f aca="false">MAX('Grilles et calculs individuels'!F38*VLOOKUP($H37,'données complémentaires'!$A$2:$D$73,4,0)-VLOOKUP($H37,'données complémentaires'!$A$3:$G$73,6,0), 0)*VLOOKUP($H37,$A$3:$D$73,4,0)/VLOOKUP($H37,$A$3:$D$73,2,0)</f>
        <v>20.9251743008202</v>
      </c>
      <c r="M37" s="67" t="s">
        <v>70</v>
      </c>
      <c r="N37" s="67" t="s">
        <v>70</v>
      </c>
      <c r="O37" s="67" t="s">
        <v>70</v>
      </c>
      <c r="P37" s="68" t="n">
        <f aca="false">MAX('Grilles et calculs individuels'!J38*VLOOKUP($H37,'données complémentaires'!$A$2:$D$73,4,0)-VLOOKUP($H37,'données complémentaires'!$A$3:$G$73,6,0), 0)*VLOOKUP($H37,$A$3:$D$73,4,0)/VLOOKUP($H37,$A$3:$D$73,2,0)</f>
        <v>13.4241573554705</v>
      </c>
      <c r="Q37" s="23"/>
    </row>
    <row r="38" customFormat="false" ht="12.8" hidden="false" customHeight="false" outlineLevel="0" collapsed="false">
      <c r="A38" s="54" t="n">
        <v>2005</v>
      </c>
      <c r="B38" s="69" t="n">
        <v>4.4163</v>
      </c>
      <c r="C38" s="70" t="n">
        <f aca="false">('calculs agirc'!B38-'calculs agirc'!B39)/'calculs agirc'!B39</f>
        <v>0.0239983305509181</v>
      </c>
      <c r="D38" s="70" t="n">
        <f aca="false">0.16344-'données complémentaires'!L38</f>
        <v>0.13744</v>
      </c>
      <c r="G38" s="0" t="n">
        <v>36</v>
      </c>
      <c r="H38" s="54" t="n">
        <f aca="false">'Grilles et calculs individuels'!$K$74-G38</f>
        <v>1979</v>
      </c>
      <c r="I38" s="67" t="s">
        <v>70</v>
      </c>
      <c r="J38" s="68" t="n">
        <f aca="false">MAX('Grilles et calculs individuels'!D39*VLOOKUP($H38,'données complémentaires'!$A$2:$D$73,4,0)-VLOOKUP($H38,'données complémentaires'!$A$3:$G$73,6,0), 0)*VLOOKUP($H38,$A$3:$D$73,4,0)/VLOOKUP($H38,$A$3:$D$73,2,0)</f>
        <v>100.88354847703</v>
      </c>
      <c r="K38" s="68" t="n">
        <f aca="false">MAX('Grilles et calculs individuels'!E39*VLOOKUP($H38,'données complémentaires'!$A$2:$D$73,4,0)-VLOOKUP($H38,'données complémentaires'!$A$3:$G$73,6,0), 0)*VLOOKUP($H38,$A$3:$D$73,4,0)/VLOOKUP($H38,$A$3:$D$73,2,0)</f>
        <v>41.8115140774945</v>
      </c>
      <c r="L38" s="68" t="n">
        <f aca="false">MAX('Grilles et calculs individuels'!F39*VLOOKUP($H38,'données complémentaires'!$A$2:$D$73,4,0)-VLOOKUP($H38,'données complémentaires'!$A$3:$G$73,6,0), 0)*VLOOKUP($H38,$A$3:$D$73,4,0)/VLOOKUP($H38,$A$3:$D$73,2,0)</f>
        <v>18.4099834882112</v>
      </c>
      <c r="M38" s="67" t="s">
        <v>70</v>
      </c>
      <c r="N38" s="67" t="s">
        <v>70</v>
      </c>
      <c r="O38" s="67" t="s">
        <v>70</v>
      </c>
      <c r="P38" s="68" t="n">
        <f aca="false">MAX('Grilles et calculs individuels'!J39*VLOOKUP($H38,'données complémentaires'!$A$2:$D$73,4,0)-VLOOKUP($H38,'données complémentaires'!$A$3:$G$73,6,0), 0)*VLOOKUP($H38,$A$3:$D$73,4,0)/VLOOKUP($H38,$A$3:$D$73,2,0)</f>
        <v>0</v>
      </c>
      <c r="Q38" s="23"/>
    </row>
    <row r="39" customFormat="false" ht="12.8" hidden="false" customHeight="false" outlineLevel="0" collapsed="false">
      <c r="A39" s="64" t="n">
        <v>2004</v>
      </c>
      <c r="B39" s="65" t="n">
        <v>4.3128</v>
      </c>
      <c r="C39" s="66" t="n">
        <f aca="false">('calculs agirc'!B39-'calculs agirc'!B40)/'calculs agirc'!B40</f>
        <v>0.0230086816262632</v>
      </c>
      <c r="D39" s="66" t="n">
        <f aca="false">0.16344-'données complémentaires'!L39</f>
        <v>0.13844</v>
      </c>
      <c r="G39" s="0" t="n">
        <v>37</v>
      </c>
      <c r="H39" s="54" t="n">
        <f aca="false">'Grilles et calculs individuels'!$K$74-G39</f>
        <v>1978</v>
      </c>
      <c r="I39" s="67" t="s">
        <v>70</v>
      </c>
      <c r="J39" s="68" t="n">
        <f aca="false">MAX('Grilles et calculs individuels'!D40*VLOOKUP($H39,'données complémentaires'!$A$2:$D$73,4,0)-VLOOKUP($H39,'données complémentaires'!$A$3:$G$73,6,0), 0)*VLOOKUP($H39,$A$3:$D$73,4,0)/VLOOKUP($H39,$A$3:$D$73,2,0)</f>
        <v>93.7435993293446</v>
      </c>
      <c r="K39" s="68" t="n">
        <f aca="false">MAX('Grilles et calculs individuels'!E40*VLOOKUP($H39,'données complémentaires'!$A$2:$D$73,4,0)-VLOOKUP($H39,'données complémentaires'!$A$3:$G$73,6,0), 0)*VLOOKUP($H39,$A$3:$D$73,4,0)/VLOOKUP($H39,$A$3:$D$73,2,0)</f>
        <v>42.8870376921112</v>
      </c>
      <c r="L39" s="68" t="n">
        <f aca="false">MAX('Grilles et calculs individuels'!F40*VLOOKUP($H39,'données complémentaires'!$A$2:$D$73,4,0)-VLOOKUP($H39,'données complémentaires'!$A$3:$G$73,6,0), 0)*VLOOKUP($H39,$A$3:$D$73,4,0)/VLOOKUP($H39,$A$3:$D$73,2,0)</f>
        <v>19.2915483338578</v>
      </c>
      <c r="M39" s="67" t="s">
        <v>70</v>
      </c>
      <c r="N39" s="67" t="s">
        <v>70</v>
      </c>
      <c r="O39" s="67" t="s">
        <v>70</v>
      </c>
      <c r="P39" s="68" t="n">
        <f aca="false">MAX('Grilles et calculs individuels'!J40*VLOOKUP($H39,'données complémentaires'!$A$2:$D$73,4,0)-VLOOKUP($H39,'données complémentaires'!$A$3:$G$73,6,0), 0)*VLOOKUP($H39,$A$3:$D$73,4,0)/VLOOKUP($H39,$A$3:$D$73,2,0)</f>
        <v>0</v>
      </c>
      <c r="Q39" s="23"/>
    </row>
    <row r="40" customFormat="false" ht="12.8" hidden="false" customHeight="false" outlineLevel="0" collapsed="false">
      <c r="A40" s="54" t="n">
        <v>2003</v>
      </c>
      <c r="B40" s="69" t="n">
        <v>4.2158</v>
      </c>
      <c r="C40" s="70" t="n">
        <f aca="false">('calculs agirc'!B40-'calculs agirc'!B41)/'calculs agirc'!B41</f>
        <v>0.0160023135875066</v>
      </c>
      <c r="D40" s="70" t="n">
        <f aca="false">0.16344-'données complémentaires'!L40</f>
        <v>0.13844</v>
      </c>
      <c r="G40" s="0" t="n">
        <v>38</v>
      </c>
      <c r="H40" s="54" t="n">
        <f aca="false">'Grilles et calculs individuels'!$K$74-G40</f>
        <v>1977</v>
      </c>
      <c r="I40" s="67" t="s">
        <v>70</v>
      </c>
      <c r="J40" s="68" t="n">
        <f aca="false">MAX('Grilles et calculs individuels'!D41*VLOOKUP($H40,'données complémentaires'!$A$2:$D$73,4,0)-VLOOKUP($H40,'données complémentaires'!$A$3:$G$73,6,0), 0)*VLOOKUP($H40,$A$3:$D$73,4,0)/VLOOKUP($H40,$A$3:$D$73,2,0)</f>
        <v>93.7277203442773</v>
      </c>
      <c r="K40" s="68" t="n">
        <f aca="false">MAX('Grilles et calculs individuels'!E41*VLOOKUP($H40,'données complémentaires'!$A$2:$D$73,4,0)-VLOOKUP($H40,'données complémentaires'!$A$3:$G$73,6,0), 0)*VLOOKUP($H40,$A$3:$D$73,4,0)/VLOOKUP($H40,$A$3:$D$73,2,0)</f>
        <v>43.0321697321191</v>
      </c>
      <c r="L40" s="68" t="n">
        <f aca="false">MAX('Grilles et calculs individuels'!F41*VLOOKUP($H40,'données complémentaires'!$A$2:$D$73,4,0)-VLOOKUP($H40,'données complémentaires'!$A$3:$G$73,6,0), 0)*VLOOKUP($H40,$A$3:$D$73,4,0)/VLOOKUP($H40,$A$3:$D$73,2,0)</f>
        <v>19.5113832992389</v>
      </c>
      <c r="M40" s="67" t="s">
        <v>70</v>
      </c>
      <c r="N40" s="67" t="s">
        <v>70</v>
      </c>
      <c r="O40" s="67" t="s">
        <v>70</v>
      </c>
      <c r="P40" s="68" t="n">
        <f aca="false">MAX('Grilles et calculs individuels'!J41*VLOOKUP($H40,'données complémentaires'!$A$2:$D$73,4,0)-VLOOKUP($H40,'données complémentaires'!$A$3:$G$73,6,0), 0)*VLOOKUP($H40,$A$3:$D$73,4,0)/VLOOKUP($H40,$A$3:$D$73,2,0)</f>
        <v>0</v>
      </c>
      <c r="Q40" s="23"/>
    </row>
    <row r="41" customFormat="false" ht="12.8" hidden="false" customHeight="false" outlineLevel="0" collapsed="false">
      <c r="A41" s="64" t="n">
        <v>2002</v>
      </c>
      <c r="B41" s="65" t="n">
        <v>4.1494</v>
      </c>
      <c r="C41" s="66" t="n">
        <f aca="false">('calculs agirc'!B41-'calculs agirc'!B42)/'calculs agirc'!B42</f>
        <v>0.0159865531168356</v>
      </c>
      <c r="D41" s="66" t="n">
        <f aca="false">0.16344-'données complémentaires'!L41</f>
        <v>0.13844</v>
      </c>
      <c r="G41" s="0" t="n">
        <v>39</v>
      </c>
      <c r="H41" s="54" t="n">
        <f aca="false">'Grilles et calculs individuels'!$K$74-G41</f>
        <v>1976</v>
      </c>
      <c r="I41" s="67" t="s">
        <v>70</v>
      </c>
      <c r="J41" s="68" t="n">
        <f aca="false">MAX('Grilles et calculs individuels'!D42*VLOOKUP($H41,'données complémentaires'!$A$2:$D$73,4,0)-VLOOKUP($H41,'données complémentaires'!$A$3:$G$73,6,0), 0)*VLOOKUP($H41,$A$3:$D$73,4,0)/VLOOKUP($H41,$A$3:$D$73,2,0)</f>
        <v>94.0377928344828</v>
      </c>
      <c r="K41" s="68" t="n">
        <f aca="false">MAX('Grilles et calculs individuels'!E42*VLOOKUP($H41,'données complémentaires'!$A$2:$D$73,4,0)-VLOOKUP($H41,'données complémentaires'!$A$3:$G$73,6,0), 0)*VLOOKUP($H41,$A$3:$D$73,4,0)/VLOOKUP($H41,$A$3:$D$73,2,0)</f>
        <v>42.0263898878433</v>
      </c>
      <c r="L41" s="68" t="n">
        <f aca="false">MAX('Grilles et calculs individuels'!F42*VLOOKUP($H41,'données complémentaires'!$A$2:$D$73,4,0)-VLOOKUP($H41,'données complémentaires'!$A$3:$G$73,6,0), 0)*VLOOKUP($H41,$A$3:$D$73,4,0)/VLOOKUP($H41,$A$3:$D$73,2,0)</f>
        <v>21.7721310620337</v>
      </c>
      <c r="M41" s="67" t="s">
        <v>70</v>
      </c>
      <c r="N41" s="67" t="s">
        <v>70</v>
      </c>
      <c r="O41" s="67" t="s">
        <v>70</v>
      </c>
      <c r="P41" s="68" t="n">
        <f aca="false">MAX('Grilles et calculs individuels'!J42*VLOOKUP($H41,'données complémentaires'!$A$2:$D$73,4,0)-VLOOKUP($H41,'données complémentaires'!$A$3:$G$73,6,0), 0)*VLOOKUP($H41,$A$3:$D$73,4,0)/VLOOKUP($H41,$A$3:$D$73,2,0)</f>
        <v>0</v>
      </c>
      <c r="Q41" s="23"/>
    </row>
    <row r="42" customFormat="false" ht="12.8" hidden="false" customHeight="false" outlineLevel="0" collapsed="false">
      <c r="A42" s="54" t="n">
        <v>2001</v>
      </c>
      <c r="B42" s="69" t="n">
        <v>4.08410917179022</v>
      </c>
      <c r="C42" s="70" t="n">
        <f aca="false">('calculs agirc'!B42-'calculs agirc'!B43)/'calculs agirc'!B43</f>
        <v>0.0151572565365658</v>
      </c>
      <c r="D42" s="70" t="n">
        <f aca="false">0.16344-'données complémentaires'!L42</f>
        <v>0.14644</v>
      </c>
      <c r="G42" s="0" t="n">
        <v>40</v>
      </c>
      <c r="H42" s="54" t="n">
        <f aca="false">'Grilles et calculs individuels'!$K$74-G42</f>
        <v>1975</v>
      </c>
      <c r="I42" s="67" t="s">
        <v>70</v>
      </c>
      <c r="J42" s="68" t="n">
        <f aca="false">MAX('Grilles et calculs individuels'!D43*VLOOKUP($H42,'données complémentaires'!$A$2:$D$73,4,0)-VLOOKUP($H42,'données complémentaires'!$A$3:$G$73,6,0), 0)*VLOOKUP($H42,$A$3:$D$73,4,0)/VLOOKUP($H42,$A$3:$D$73,2,0)</f>
        <v>96.841002178095</v>
      </c>
      <c r="K42" s="68" t="n">
        <f aca="false">MAX('Grilles et calculs individuels'!E43*VLOOKUP($H42,'données complémentaires'!$A$2:$D$73,4,0)-VLOOKUP($H42,'données complémentaires'!$A$3:$G$73,6,0), 0)*VLOOKUP($H42,$A$3:$D$73,4,0)/VLOOKUP($H42,$A$3:$D$73,2,0)</f>
        <v>45.0151896697512</v>
      </c>
      <c r="L42" s="68" t="n">
        <f aca="false">MAX('Grilles et calculs individuels'!F43*VLOOKUP($H42,'données complémentaires'!$A$2:$D$73,4,0)-VLOOKUP($H42,'données complémentaires'!$A$3:$G$73,6,0), 0)*VLOOKUP($H42,$A$3:$D$73,4,0)/VLOOKUP($H42,$A$3:$D$73,2,0)</f>
        <v>24.833203394957</v>
      </c>
      <c r="M42" s="67" t="s">
        <v>70</v>
      </c>
      <c r="N42" s="67" t="s">
        <v>70</v>
      </c>
      <c r="O42" s="67" t="s">
        <v>70</v>
      </c>
      <c r="P42" s="68" t="n">
        <f aca="false">MAX('Grilles et calculs individuels'!J43*VLOOKUP($H42,'données complémentaires'!$A$2:$D$73,4,0)-VLOOKUP($H42,'données complémentaires'!$A$3:$G$73,6,0), 0)*VLOOKUP($H42,$A$3:$D$73,4,0)/VLOOKUP($H42,$A$3:$D$73,2,0)</f>
        <v>0</v>
      </c>
      <c r="Q42" s="23"/>
    </row>
    <row r="43" customFormat="false" ht="12.8" hidden="false" customHeight="false" outlineLevel="0" collapsed="false">
      <c r="A43" s="64" t="n">
        <v>2000</v>
      </c>
      <c r="B43" s="65" t="n">
        <v>4.02312956489526</v>
      </c>
      <c r="C43" s="66" t="n">
        <f aca="false">('calculs agirc'!B43-'calculs agirc'!B44)/'calculs agirc'!B44</f>
        <v>0.0688537869582835</v>
      </c>
      <c r="D43" s="66" t="n">
        <f aca="false">0.16344-'données complémentaires'!L43</f>
        <v>0.14644</v>
      </c>
      <c r="G43" s="0" t="n">
        <v>41</v>
      </c>
      <c r="H43" s="54" t="n">
        <f aca="false">'Grilles et calculs individuels'!$K$74-G43</f>
        <v>1974</v>
      </c>
      <c r="I43" s="67" t="s">
        <v>70</v>
      </c>
      <c r="J43" s="68" t="n">
        <f aca="false">MAX('Grilles et calculs individuels'!D44*VLOOKUP($H43,'données complémentaires'!$A$2:$D$73,4,0)-VLOOKUP($H43,'données complémentaires'!$A$3:$G$73,6,0), 0)*VLOOKUP($H43,$A$3:$D$73,4,0)/VLOOKUP($H43,$A$3:$D$73,2,0)</f>
        <v>94.1377326379307</v>
      </c>
      <c r="K43" s="68" t="n">
        <f aca="false">MAX('Grilles et calculs individuels'!E44*VLOOKUP($H43,'données complémentaires'!$A$2:$D$73,4,0)-VLOOKUP($H43,'données complémentaires'!$A$3:$G$73,6,0), 0)*VLOOKUP($H43,$A$3:$D$73,4,0)/VLOOKUP($H43,$A$3:$D$73,2,0)</f>
        <v>40.9153947138728</v>
      </c>
      <c r="L43" s="68" t="n">
        <f aca="false">MAX('Grilles et calculs individuels'!F44*VLOOKUP($H43,'données complémentaires'!$A$2:$D$73,4,0)-VLOOKUP($H43,'données complémentaires'!$A$3:$G$73,6,0), 0)*VLOOKUP($H43,$A$3:$D$73,4,0)/VLOOKUP($H43,$A$3:$D$73,2,0)</f>
        <v>26.2603304709466</v>
      </c>
      <c r="M43" s="67" t="s">
        <v>70</v>
      </c>
      <c r="N43" s="67" t="s">
        <v>70</v>
      </c>
      <c r="O43" s="67" t="s">
        <v>70</v>
      </c>
      <c r="P43" s="68" t="n">
        <f aca="false">MAX('Grilles et calculs individuels'!J44*VLOOKUP($H43,'données complémentaires'!$A$2:$D$73,4,0)-VLOOKUP($H43,'données complémentaires'!$A$3:$G$73,6,0), 0)*VLOOKUP($H43,$A$3:$D$73,4,0)/VLOOKUP($H43,$A$3:$D$73,2,0)</f>
        <v>0</v>
      </c>
      <c r="Q43" s="23"/>
    </row>
    <row r="44" customFormat="false" ht="12.8" hidden="false" customHeight="false" outlineLevel="0" collapsed="false">
      <c r="A44" s="54" t="n">
        <v>1999</v>
      </c>
      <c r="B44" s="69" t="n">
        <v>3.76396623559166</v>
      </c>
      <c r="C44" s="70" t="n">
        <f aca="false">('calculs agirc'!B44-'calculs agirc'!B45)/'calculs agirc'!B45</f>
        <v>0.0688311688311681</v>
      </c>
      <c r="D44" s="70" t="n">
        <f aca="false">0.16344-'données complémentaires'!L44</f>
        <v>0.14544</v>
      </c>
      <c r="G44" s="0" t="n">
        <v>42</v>
      </c>
      <c r="H44" s="54" t="n">
        <f aca="false">'Grilles et calculs individuels'!$K$74-G44</f>
        <v>1973</v>
      </c>
      <c r="I44" s="67" t="s">
        <v>70</v>
      </c>
      <c r="J44" s="68" t="n">
        <f aca="false">MAX('Grilles et calculs individuels'!D45*VLOOKUP($H44,'données complémentaires'!$A$2:$D$73,4,0)-VLOOKUP($H44,'données complémentaires'!$A$3:$G$73,6,0), 0)*VLOOKUP($H44,$A$3:$D$73,4,0)/VLOOKUP($H44,$A$3:$D$73,2,0)</f>
        <v>93.669852012877</v>
      </c>
      <c r="K44" s="68" t="n">
        <f aca="false">MAX('Grilles et calculs individuels'!E45*VLOOKUP($H44,'données complémentaires'!$A$2:$D$73,4,0)-VLOOKUP($H44,'données complémentaires'!$A$3:$G$73,6,0), 0)*VLOOKUP($H44,$A$3:$D$73,4,0)/VLOOKUP($H44,$A$3:$D$73,2,0)</f>
        <v>23.4269728063837</v>
      </c>
      <c r="L44" s="68" t="n">
        <f aca="false">MAX('Grilles et calculs individuels'!F45*VLOOKUP($H44,'données complémentaires'!$A$2:$D$73,4,0)-VLOOKUP($H44,'données complémentaires'!$A$3:$G$73,6,0), 0)*VLOOKUP($H44,$A$3:$D$73,4,0)/VLOOKUP($H44,$A$3:$D$73,2,0)</f>
        <v>9.98012200008574</v>
      </c>
      <c r="M44" s="67" t="s">
        <v>70</v>
      </c>
      <c r="N44" s="67" t="s">
        <v>70</v>
      </c>
      <c r="O44" s="67" t="s">
        <v>70</v>
      </c>
      <c r="P44" s="68" t="n">
        <f aca="false">MAX('Grilles et calculs individuels'!J45*VLOOKUP($H44,'données complémentaires'!$A$2:$D$73,4,0)-VLOOKUP($H44,'données complémentaires'!$A$3:$G$73,6,0), 0)*VLOOKUP($H44,$A$3:$D$73,4,0)/VLOOKUP($H44,$A$3:$D$73,2,0)</f>
        <v>0</v>
      </c>
      <c r="Q44" s="23"/>
    </row>
    <row r="45" customFormat="false" ht="12.8" hidden="false" customHeight="false" outlineLevel="0" collapsed="false">
      <c r="A45" s="64" t="n">
        <v>1998</v>
      </c>
      <c r="B45" s="65" t="n">
        <v>3.52157229818418</v>
      </c>
      <c r="C45" s="66" t="n">
        <f aca="false">('calculs agirc'!B45-'calculs agirc'!B46)/'calculs agirc'!B46</f>
        <v>0.0377358490566023</v>
      </c>
      <c r="D45" s="66" t="n">
        <f aca="false">0.16344-'données complémentaires'!L45</f>
        <v>0.14794</v>
      </c>
      <c r="G45" s="0" t="n">
        <v>43</v>
      </c>
      <c r="H45" s="54" t="n">
        <f aca="false">'Grilles et calculs individuels'!$K$74-G45</f>
        <v>1972</v>
      </c>
      <c r="I45" s="71" t="s">
        <v>70</v>
      </c>
      <c r="J45" s="68" t="n">
        <f aca="false">MAX('Grilles et calculs individuels'!D46*VLOOKUP($H45,'données complémentaires'!$A$2:$D$73,4,0)-VLOOKUP($H45,'données complémentaires'!$A$3:$G$73,6,0), 0)*VLOOKUP($H45,$A$3:$D$73,4,0)/VLOOKUP($H45,$A$3:$D$73,2,0)</f>
        <v>86.0102347300259</v>
      </c>
      <c r="K45" s="68" t="n">
        <f aca="false">MAX('Grilles et calculs individuels'!E46*VLOOKUP($H45,'données complémentaires'!$A$2:$D$73,4,0)-VLOOKUP($H45,'données complémentaires'!$A$3:$G$73,6,0), 0)*VLOOKUP($H45,$A$3:$D$73,4,0)/VLOOKUP($H45,$A$3:$D$73,2,0)</f>
        <v>0</v>
      </c>
      <c r="L45" s="68" t="n">
        <f aca="false">MAX('Grilles et calculs individuels'!F46*VLOOKUP($H45,'données complémentaires'!$A$2:$D$73,4,0)-VLOOKUP($H45,'données complémentaires'!$A$3:$G$73,6,0), 0)*VLOOKUP($H45,$A$3:$D$73,4,0)/VLOOKUP($H45,$A$3:$D$73,2,0)</f>
        <v>0</v>
      </c>
      <c r="M45" s="71" t="s">
        <v>70</v>
      </c>
      <c r="N45" s="71" t="s">
        <v>70</v>
      </c>
      <c r="O45" s="71" t="s">
        <v>70</v>
      </c>
      <c r="P45" s="68" t="n">
        <f aca="false">MAX('Grilles et calculs individuels'!J46*VLOOKUP($H45,'données complémentaires'!$A$2:$D$73,4,0)-VLOOKUP($H45,'données complémentaires'!$A$3:$G$73,6,0), 0)*VLOOKUP($H45,$A$3:$D$73,4,0)/VLOOKUP($H45,$A$3:$D$73,2,0)</f>
        <v>0</v>
      </c>
      <c r="Q45" s="23"/>
    </row>
    <row r="46" customFormat="false" ht="12.8" hidden="false" customHeight="false" outlineLevel="0" collapsed="false">
      <c r="A46" s="54" t="n">
        <v>1997</v>
      </c>
      <c r="B46" s="69" t="n">
        <v>3.39351512370476</v>
      </c>
      <c r="C46" s="70" t="n">
        <f aca="false">('calculs agirc'!B46-'calculs agirc'!B47)/'calculs agirc'!B47</f>
        <v>0.0519848771266568</v>
      </c>
      <c r="D46" s="70" t="n">
        <f aca="false">0.16344-'données complémentaires'!L46</f>
        <v>0.15044</v>
      </c>
      <c r="H46" s="2" t="s">
        <v>71</v>
      </c>
      <c r="I46" s="2" t="s">
        <v>70</v>
      </c>
      <c r="J46" s="72" t="n">
        <f aca="false">MAX(SUM(J3:J45), 120)</f>
        <v>4028.21443227074</v>
      </c>
      <c r="K46" s="72" t="n">
        <f aca="false">MAX(SUM(K3:K45), 120)</f>
        <v>1776.17793671154</v>
      </c>
      <c r="L46" s="72" t="n">
        <f aca="false">MAX(SUM(L3:L45), 120)</f>
        <v>676.032180285961</v>
      </c>
      <c r="M46" s="71" t="s">
        <v>70</v>
      </c>
      <c r="N46" s="71" t="s">
        <v>70</v>
      </c>
      <c r="O46" s="71" t="s">
        <v>70</v>
      </c>
      <c r="P46" s="72" t="n">
        <f aca="false">MAX(SUM(P3:P45), 120)</f>
        <v>294.020282114354</v>
      </c>
    </row>
    <row r="47" customFormat="false" ht="12.8" hidden="false" customHeight="false" outlineLevel="0" collapsed="false">
      <c r="A47" s="64" t="n">
        <v>1996</v>
      </c>
      <c r="B47" s="65" t="n">
        <v>3.2258212047436</v>
      </c>
      <c r="C47" s="66" t="n">
        <f aca="false">('calculs agirc'!B47-'calculs agirc'!B48)/'calculs agirc'!B48</f>
        <v>0.056415376934597</v>
      </c>
      <c r="D47" s="66" t="n">
        <f aca="false">0.16344-'données complémentaires'!L47</f>
        <v>0.15294</v>
      </c>
      <c r="H47" s="2" t="s">
        <v>72</v>
      </c>
      <c r="I47" s="2" t="n">
        <v>0</v>
      </c>
      <c r="J47" s="72" t="n">
        <f aca="false">J46*0.4352</f>
        <v>1753.07892092423</v>
      </c>
      <c r="K47" s="72" t="n">
        <f aca="false">K46*0.4352</f>
        <v>772.992638056864</v>
      </c>
      <c r="L47" s="72" t="n">
        <f aca="false">L46*0.4352</f>
        <v>294.20920486045</v>
      </c>
      <c r="M47" s="2" t="n">
        <v>0</v>
      </c>
      <c r="N47" s="2" t="n">
        <v>0</v>
      </c>
      <c r="O47" s="2" t="n">
        <v>0</v>
      </c>
      <c r="P47" s="72" t="n">
        <f aca="false">P46*0.4352</f>
        <v>127.957626776167</v>
      </c>
    </row>
    <row r="48" customFormat="false" ht="12.8" hidden="false" customHeight="false" outlineLevel="0" collapsed="false">
      <c r="A48" s="54" t="n">
        <v>1995</v>
      </c>
      <c r="B48" s="69" t="n">
        <v>3.05355381526533</v>
      </c>
      <c r="C48" s="70" t="n">
        <f aca="false">('calculs agirc'!B48-'calculs agirc'!B49)/'calculs agirc'!B49</f>
        <v>0.026127049180328</v>
      </c>
      <c r="D48" s="70" t="n">
        <f aca="false">0.16344-'données complémentaires'!L48</f>
        <v>0.15394</v>
      </c>
    </row>
    <row r="49" customFormat="false" ht="12.8" hidden="false" customHeight="false" outlineLevel="0" collapsed="false">
      <c r="A49" s="64" t="n">
        <v>1994</v>
      </c>
      <c r="B49" s="65" t="n">
        <v>2.97580481647425</v>
      </c>
      <c r="C49" s="66" t="n">
        <f aca="false">('calculs agirc'!B49-'calculs agirc'!B50)/'calculs agirc'!B50</f>
        <v>0.0124481327800836</v>
      </c>
      <c r="D49" s="66" t="n">
        <f aca="false">0.16344-'données complémentaires'!L49</f>
        <v>0.15394</v>
      </c>
    </row>
    <row r="50" customFormat="false" ht="12.8" hidden="false" customHeight="false" outlineLevel="0" collapsed="false">
      <c r="A50" s="54" t="n">
        <v>1993</v>
      </c>
      <c r="B50" s="69" t="n">
        <v>2.93921705233727</v>
      </c>
      <c r="C50" s="70" t="n">
        <f aca="false">('calculs agirc'!B50-'calculs agirc'!B51)/'calculs agirc'!B51</f>
        <v>0.00260010400415987</v>
      </c>
      <c r="D50" s="70" t="n">
        <f aca="false">0.16344-'données complémentaires'!L50</f>
        <v>0.15394</v>
      </c>
      <c r="H50" s="0" t="s">
        <v>73</v>
      </c>
    </row>
    <row r="51" customFormat="false" ht="12.8" hidden="false" customHeight="false" outlineLevel="0" collapsed="false">
      <c r="A51" s="64" t="n">
        <v>1992</v>
      </c>
      <c r="B51" s="65" t="n">
        <v>2.9315946014754</v>
      </c>
      <c r="C51" s="66" t="n">
        <f aca="false">('calculs agirc'!B51-'calculs agirc'!B52)/'calculs agirc'!B52</f>
        <v>0.0228723404255297</v>
      </c>
      <c r="D51" s="66" t="n">
        <f aca="false">0.16344-'données complémentaires'!L51</f>
        <v>0.15644</v>
      </c>
      <c r="H51" s="0" t="s">
        <v>74</v>
      </c>
    </row>
    <row r="52" customFormat="false" ht="12.8" hidden="false" customHeight="false" outlineLevel="0" collapsed="false">
      <c r="A52" s="54" t="n">
        <v>1991</v>
      </c>
      <c r="B52" s="69" t="n">
        <v>2.86604152406332</v>
      </c>
      <c r="C52" s="70" t="n">
        <f aca="false">('calculs agirc'!B52-'calculs agirc'!B53)/'calculs agirc'!B53</f>
        <v>0.032399780340475</v>
      </c>
      <c r="D52" s="70" t="n">
        <f aca="false">0.16344-'données complémentaires'!L52</f>
        <v>0.15644</v>
      </c>
      <c r="H52" s="0" t="s">
        <v>75</v>
      </c>
    </row>
    <row r="53" customFormat="false" ht="12.8" hidden="false" customHeight="false" outlineLevel="0" collapsed="false">
      <c r="A53" s="64" t="n">
        <v>1990</v>
      </c>
      <c r="B53" s="65" t="n">
        <v>2.77609660389324</v>
      </c>
      <c r="C53" s="66" t="n">
        <f aca="false">('calculs agirc'!B53-'calculs agirc'!B54)/'calculs agirc'!B54</f>
        <v>0.0459506031016665</v>
      </c>
      <c r="D53" s="66" t="n">
        <f aca="false">0.16344-'données complémentaires'!L53</f>
        <v>0.16694</v>
      </c>
      <c r="H53" s="0" t="s">
        <v>76</v>
      </c>
    </row>
    <row r="54" customFormat="false" ht="12.8" hidden="false" customHeight="false" outlineLevel="0" collapsed="false">
      <c r="A54" s="54" t="n">
        <v>1989</v>
      </c>
      <c r="B54" s="69" t="n">
        <v>2.65413739010331</v>
      </c>
      <c r="C54" s="70" t="n">
        <f aca="false">('calculs agirc'!B54-'calculs agirc'!B55)/'calculs agirc'!B55</f>
        <v>0.0437649880095886</v>
      </c>
      <c r="D54" s="70" t="n">
        <f aca="false">0.16344-'données complémentaires'!L54</f>
        <v>0.15644</v>
      </c>
      <c r="H54" s="0" t="s">
        <v>77</v>
      </c>
    </row>
    <row r="55" customFormat="false" ht="12.8" hidden="false" customHeight="false" outlineLevel="0" collapsed="false">
      <c r="A55" s="64" t="n">
        <v>1988</v>
      </c>
      <c r="B55" s="65" t="n">
        <v>2.54284960752001</v>
      </c>
      <c r="C55" s="66" t="n">
        <f aca="false">('calculs agirc'!B55-'calculs agirc'!B56)/'calculs agirc'!B56</f>
        <v>0.0411985018726629</v>
      </c>
      <c r="D55" s="66" t="n">
        <f aca="false">0.16344-'données complémentaires'!L55</f>
        <v>0.14724</v>
      </c>
      <c r="H55" s="0" t="s">
        <v>78</v>
      </c>
    </row>
    <row r="56" customFormat="false" ht="12.8" hidden="false" customHeight="false" outlineLevel="0" collapsed="false">
      <c r="A56" s="54" t="n">
        <v>1987</v>
      </c>
      <c r="B56" s="69" t="n">
        <v>2.44223325614331</v>
      </c>
      <c r="C56" s="70" t="n">
        <f aca="false">('calculs agirc'!B56-'calculs agirc'!B57)/'calculs agirc'!B57</f>
        <v>0.026923076923076</v>
      </c>
      <c r="D56" s="70" t="n">
        <f aca="false">0.16344-'données complémentaires'!L56</f>
        <v>0.15764</v>
      </c>
    </row>
    <row r="57" customFormat="false" ht="12.8" hidden="false" customHeight="false" outlineLevel="0" collapsed="false">
      <c r="A57" s="64" t="n">
        <v>1986</v>
      </c>
      <c r="B57" s="65" t="n">
        <v>2.3782046689036</v>
      </c>
      <c r="C57" s="66" t="n">
        <f aca="false">('calculs agirc'!B57-'calculs agirc'!B58)/'calculs agirc'!B58</f>
        <v>0.0526315789473683</v>
      </c>
      <c r="D57" s="66" t="n">
        <f aca="false">0.16344-'données complémentaires'!L57</f>
        <v>0.15764</v>
      </c>
    </row>
    <row r="58" customFormat="false" ht="12.8" hidden="false" customHeight="false" outlineLevel="0" collapsed="false">
      <c r="A58" s="54" t="n">
        <v>1985</v>
      </c>
      <c r="B58" s="69" t="n">
        <v>2.25929443545842</v>
      </c>
      <c r="C58" s="70" t="n">
        <f aca="false">('calculs agirc'!B58-'calculs agirc'!B59)/'calculs agirc'!B59</f>
        <v>0.0677233429394784</v>
      </c>
      <c r="D58" s="70" t="n">
        <f aca="false">0.16344-'données complémentaires'!L58</f>
        <v>0.15064</v>
      </c>
    </row>
    <row r="59" customFormat="false" ht="12.8" hidden="false" customHeight="false" outlineLevel="0" collapsed="false">
      <c r="A59" s="64" t="n">
        <v>1984</v>
      </c>
      <c r="B59" s="65" t="n">
        <v>2.11599235925526</v>
      </c>
      <c r="C59" s="66" t="n">
        <f aca="false">('calculs agirc'!B59-'calculs agirc'!B60)/'calculs agirc'!B60</f>
        <v>0.061973986228007</v>
      </c>
      <c r="D59" s="66" t="n">
        <f aca="false">0.16344-'données complémentaires'!L59</f>
        <v>0.15764</v>
      </c>
    </row>
    <row r="60" customFormat="false" ht="12.8" hidden="false" customHeight="false" outlineLevel="0" collapsed="false">
      <c r="A60" s="54" t="n">
        <v>1983</v>
      </c>
      <c r="B60" s="69" t="n">
        <v>1.99250865529295</v>
      </c>
      <c r="C60" s="70" t="n">
        <f aca="false">('calculs agirc'!B60-'calculs agirc'!B61)/'calculs agirc'!B61</f>
        <v>0.109507640067912</v>
      </c>
      <c r="D60" s="70" t="n">
        <f aca="false">0.16344-'données complémentaires'!L60</f>
        <v>0.14804</v>
      </c>
    </row>
    <row r="61" customFormat="false" ht="12.8" hidden="false" customHeight="false" outlineLevel="0" collapsed="false">
      <c r="A61" s="64" t="n">
        <v>1982</v>
      </c>
      <c r="B61" s="65" t="n">
        <v>1.79584942305669</v>
      </c>
      <c r="C61" s="66" t="n">
        <f aca="false">('calculs agirc'!B61-'calculs agirc'!B62)/'calculs agirc'!B62</f>
        <v>0.111320754716979</v>
      </c>
      <c r="D61" s="66" t="n">
        <f aca="false">0.16344-'données complémentaires'!L61</f>
        <v>0.14884</v>
      </c>
    </row>
    <row r="62" customFormat="false" ht="12.8" hidden="false" customHeight="false" outlineLevel="0" collapsed="false">
      <c r="A62" s="54" t="n">
        <v>1981</v>
      </c>
      <c r="B62" s="69" t="n">
        <v>1.61595958271655</v>
      </c>
      <c r="C62" s="70" t="n">
        <f aca="false">('calculs agirc'!B62-'calculs agirc'!B63)/'calculs agirc'!B63</f>
        <v>0.125265392781313</v>
      </c>
      <c r="D62" s="70" t="n">
        <f aca="false">0.16344-'données complémentaires'!L62</f>
        <v>0.14884</v>
      </c>
    </row>
    <row r="63" customFormat="false" ht="12.8" hidden="false" customHeight="false" outlineLevel="0" collapsed="false">
      <c r="A63" s="64" t="n">
        <v>1980</v>
      </c>
      <c r="B63" s="65" t="n">
        <v>1.43606974237641</v>
      </c>
      <c r="C63" s="66" t="n">
        <f aca="false">('calculs agirc'!B63-'calculs agirc'!B64)/'calculs agirc'!B64</f>
        <v>0.136308805790114</v>
      </c>
      <c r="D63" s="66" t="n">
        <f aca="false">0.16344-'données complémentaires'!L63</f>
        <v>0.14884</v>
      </c>
    </row>
    <row r="64" customFormat="false" ht="12.8" hidden="false" customHeight="false" outlineLevel="0" collapsed="false">
      <c r="A64" s="54" t="n">
        <v>1979</v>
      </c>
      <c r="B64" s="69" t="n">
        <v>1.26380235289813</v>
      </c>
      <c r="C64" s="70" t="n">
        <f aca="false">('calculs agirc'!B64-'calculs agirc'!B65)/'calculs agirc'!B65</f>
        <v>0.117250673854441</v>
      </c>
      <c r="D64" s="70" t="n">
        <f aca="false">0.16344-'données complémentaires'!L64</f>
        <v>0.15884</v>
      </c>
    </row>
    <row r="65" customFormat="false" ht="12.8" hidden="false" customHeight="false" outlineLevel="0" collapsed="false">
      <c r="A65" s="64" t="n">
        <v>1978</v>
      </c>
      <c r="B65" s="65" t="n">
        <v>1.13117170790159</v>
      </c>
      <c r="C65" s="66" t="n">
        <f aca="false">('calculs agirc'!B65-'calculs agirc'!B66)/'calculs agirc'!B66</f>
        <v>0.100890207715134</v>
      </c>
      <c r="D65" s="66" t="n">
        <f aca="false">0.16344-'données complémentaires'!L65</f>
        <v>0.15884</v>
      </c>
    </row>
    <row r="66" customFormat="false" ht="12.8" hidden="false" customHeight="false" outlineLevel="0" collapsed="false">
      <c r="A66" s="54" t="n">
        <v>1977</v>
      </c>
      <c r="B66" s="69" t="n">
        <v>1.02750637618015</v>
      </c>
      <c r="C66" s="70" t="n">
        <f aca="false">('calculs agirc'!B66-'calculs agirc'!B67)/'calculs agirc'!B67</f>
        <v>0.101307189542487</v>
      </c>
      <c r="D66" s="70" t="n">
        <f aca="false">0.16344-'données complémentaires'!L66</f>
        <v>0.15884</v>
      </c>
    </row>
    <row r="67" customFormat="false" ht="12.8" hidden="false" customHeight="false" outlineLevel="0" collapsed="false">
      <c r="A67" s="64" t="n">
        <v>1976</v>
      </c>
      <c r="B67" s="65" t="n">
        <v>0.932987985492952</v>
      </c>
      <c r="C67" s="66" t="n">
        <f aca="false">('calculs agirc'!B67-'calculs agirc'!B68)/'calculs agirc'!B68</f>
        <v>0.104693140794224</v>
      </c>
      <c r="D67" s="66" t="n">
        <f aca="false">0.16344-'données complémentaires'!L67</f>
        <v>0.17334</v>
      </c>
    </row>
    <row r="68" customFormat="false" ht="12.8" hidden="false" customHeight="false" outlineLevel="0" collapsed="false">
      <c r="A68" s="54" t="n">
        <v>1975</v>
      </c>
      <c r="B68" s="69" t="n">
        <v>0.844567555495254</v>
      </c>
      <c r="C68" s="70" t="n">
        <f aca="false">('calculs agirc'!B68-'calculs agirc'!B69)/'calculs agirc'!B69</f>
        <v>0.151767151767152</v>
      </c>
      <c r="D68" s="70" t="n">
        <f aca="false">0.16344-'données complémentaires'!L68</f>
        <v>0.17334</v>
      </c>
    </row>
    <row r="69" customFormat="false" ht="12.8" hidden="false" customHeight="false" outlineLevel="0" collapsed="false">
      <c r="A69" s="64" t="n">
        <v>1974</v>
      </c>
      <c r="B69" s="65" t="n">
        <v>0.733279772911944</v>
      </c>
      <c r="C69" s="66" t="n">
        <f aca="false">('calculs agirc'!B69-'calculs agirc'!B70)/'calculs agirc'!B70</f>
        <v>0.131764705882353</v>
      </c>
      <c r="D69" s="66" t="n">
        <f aca="false">0.16344-'données complémentaires'!L69</f>
        <v>0.17584</v>
      </c>
    </row>
    <row r="70" customFormat="false" ht="12.8" hidden="false" customHeight="false" outlineLevel="0" collapsed="false">
      <c r="A70" s="54" t="n">
        <v>1973</v>
      </c>
      <c r="B70" s="69" t="n">
        <f aca="false">4.25/6.55957</f>
        <v>0.647908323258994</v>
      </c>
      <c r="C70" s="70" t="n">
        <v>0.0945</v>
      </c>
      <c r="D70" s="70" t="n">
        <f aca="false">0.16344-'données complémentaires'!L70</f>
        <v>0.17624</v>
      </c>
    </row>
    <row r="71" customFormat="false" ht="12.8" hidden="false" customHeight="false" outlineLevel="0" collapsed="false">
      <c r="A71" s="64" t="n">
        <v>1972</v>
      </c>
      <c r="B71" s="65" t="n">
        <f aca="false">3.88/6.55957</f>
        <v>0.591502186881152</v>
      </c>
      <c r="C71" s="66"/>
      <c r="D71" s="66" t="n">
        <f aca="false">0.16344-'données complémentaires'!L71</f>
        <v>0.17664</v>
      </c>
    </row>
    <row r="72" customFormat="false" ht="12.8" hidden="false" customHeight="false" outlineLevel="0" collapsed="false">
      <c r="A72" s="54" t="n">
        <v>1971</v>
      </c>
      <c r="B72" s="69"/>
      <c r="C72" s="70"/>
      <c r="D72" s="70" t="n">
        <f aca="false">0.16344-'données complémentaires'!L72</f>
        <v>0.17704</v>
      </c>
    </row>
    <row r="73" customFormat="false" ht="12.8" hidden="false" customHeight="false" outlineLevel="0" collapsed="false">
      <c r="A73" s="64" t="n">
        <v>1970</v>
      </c>
      <c r="B73" s="65"/>
      <c r="C73" s="66"/>
      <c r="D73" s="66" t="n">
        <f aca="false">0.16344-'données complémentaires'!L73</f>
        <v>0.17744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R7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2.85"/>
  <cols>
    <col collapsed="false" hidden="false" max="1" min="1" style="0" width="6.05612244897959"/>
    <col collapsed="false" hidden="false" max="2" min="2" style="0" width="2.25"/>
    <col collapsed="false" hidden="false" max="3" min="3" style="0" width="19.4948979591837"/>
    <col collapsed="false" hidden="false" max="6" min="4" style="0" width="11.5204081632653"/>
    <col collapsed="false" hidden="false" max="7" min="7" style="56" width="19.0714285714286"/>
    <col collapsed="false" hidden="false" max="8" min="8" style="0" width="11.5204081632653"/>
    <col collapsed="false" hidden="false" max="9" min="9" style="0" width="24.4234693877551"/>
    <col collapsed="false" hidden="false" max="10" min="10" style="0" width="18.0816326530612"/>
    <col collapsed="false" hidden="false" max="11" min="11" style="0" width="15.3979591836735"/>
    <col collapsed="false" hidden="false" max="12" min="12" style="0" width="16.6683673469388"/>
    <col collapsed="false" hidden="false" max="1025" min="13" style="0" width="11.5204081632653"/>
  </cols>
  <sheetData>
    <row r="1" customFormat="false" ht="12.8" hidden="false" customHeight="false" outlineLevel="0" collapsed="false">
      <c r="C1" s="73" t="s">
        <v>79</v>
      </c>
      <c r="D1" s="73"/>
      <c r="E1" s="73"/>
      <c r="F1" s="73"/>
      <c r="G1" s="73"/>
      <c r="I1" s="0" t="s">
        <v>80</v>
      </c>
    </row>
    <row r="2" customFormat="false" ht="13.4" hidden="false" customHeight="false" outlineLevel="0" collapsed="false">
      <c r="C2" s="43" t="s">
        <v>64</v>
      </c>
      <c r="D2" s="43" t="s">
        <v>81</v>
      </c>
      <c r="E2" s="43" t="s">
        <v>82</v>
      </c>
      <c r="F2" s="74" t="s">
        <v>83</v>
      </c>
      <c r="G2" s="42" t="s">
        <v>84</v>
      </c>
      <c r="I2" s="43" t="s">
        <v>65</v>
      </c>
      <c r="J2" s="75" t="s">
        <v>3</v>
      </c>
      <c r="K2" s="75" t="s">
        <v>66</v>
      </c>
      <c r="L2" s="75" t="s">
        <v>5</v>
      </c>
      <c r="M2" s="75" t="s">
        <v>6</v>
      </c>
      <c r="N2" s="75" t="s">
        <v>67</v>
      </c>
      <c r="O2" s="75" t="s">
        <v>68</v>
      </c>
      <c r="P2" s="75" t="s">
        <v>69</v>
      </c>
      <c r="Q2" s="43" t="s">
        <v>10</v>
      </c>
      <c r="R2" s="0" t="s">
        <v>85</v>
      </c>
    </row>
    <row r="3" customFormat="false" ht="12.8" hidden="false" customHeight="false" outlineLevel="0" collapsed="false">
      <c r="C3" s="54" t="n">
        <v>1</v>
      </c>
      <c r="D3" s="54" t="n">
        <v>2040</v>
      </c>
      <c r="E3" s="54" t="n">
        <v>37548</v>
      </c>
      <c r="F3" s="76" t="n">
        <f aca="false">E3/12</f>
        <v>3129</v>
      </c>
      <c r="G3" s="77" t="n">
        <v>1</v>
      </c>
      <c r="I3" s="54" t="n">
        <f aca="false">'Grilles et calculs individuels'!$K$74-C3</f>
        <v>2014</v>
      </c>
      <c r="J3" s="69" t="n">
        <f aca="false">MIN(VLOOKUP($I3,$D$3:$G$74,3,0), 'Grilles et calculs individuels'!C4*VLOOKUP($I3,'données complémentaires'!$A$3:$D$73,4,0))*VLOOKUP($I3,$D$3:$G$74, 4,0)</f>
        <v>2384.6</v>
      </c>
      <c r="K3" s="69" t="n">
        <f aca="false">MIN(VLOOKUP($I3,$D$3:$G$74,3,0), 'Grilles et calculs individuels'!D4*VLOOKUP($I3,'données complémentaires'!$A$3:$D$73,4,0))*VLOOKUP($I3,$D$3:$G$74, 4,0)</f>
        <v>3129</v>
      </c>
      <c r="L3" s="69" t="n">
        <f aca="false">MIN(VLOOKUP($I3,$D$3:$G$74,3,0), 'Grilles et calculs individuels'!E4*VLOOKUP($I3,'données complémentaires'!$A$3:$D$73,4,0))*VLOOKUP($I3,$D$3:$G$74, 4,0)</f>
        <v>3129</v>
      </c>
      <c r="M3" s="69" t="n">
        <f aca="false">MIN(VLOOKUP($I3,$D$3:$G$74,3,0), 'Grilles et calculs individuels'!F4*VLOOKUP($I3,'données complémentaires'!$A$3:$D$73,4,0))*VLOOKUP($I3,$D$3:$G$74, 4,0)</f>
        <v>3046.73</v>
      </c>
      <c r="N3" s="69" t="n">
        <f aca="false">MIN(VLOOKUP($I3,$D$3:$G$74,3,0), 'Grilles et calculs individuels'!G4*VLOOKUP($I3,'données complémentaires'!$A$3:$D$73,4,0))*VLOOKUP($I3,$D$3:$G$74, 4,0)</f>
        <v>1861.38</v>
      </c>
      <c r="O3" s="69" t="n">
        <f aca="false">MIN(VLOOKUP($I3,$D$3:$G$74,3,0), 'Grilles et calculs individuels'!H4*VLOOKUP($I3,'données complémentaires'!$A$3:$D$73,4,0))*VLOOKUP($I3,$D$3:$G$74, 4,0)</f>
        <v>1861.38</v>
      </c>
      <c r="P3" s="69" t="n">
        <f aca="false">MIN(VLOOKUP($I3,$D$3:$G$74,3,0), 'Grilles et calculs individuels'!I4*VLOOKUP($I3,'données complémentaires'!$A$3:$D$73,4,0))*VLOOKUP($I3,$D$3:$G$74, 4,0)</f>
        <v>1861.38</v>
      </c>
      <c r="Q3" s="69" t="n">
        <f aca="false">MIN(VLOOKUP($I3,$D$3:$G$74,3,0), 'Grilles et calculs individuels'!J4*VLOOKUP($I3,'données complémentaires'!$A$3:$D$73,4,0))*VLOOKUP($I3,$D$3:$G$74, 4,0)</f>
        <v>3046.73</v>
      </c>
      <c r="R3" s="69" t="n">
        <f aca="false">MIN($F9, 'Grilles et calculs individuels'!K4*'données complémentaires'!$D9)*$G9</f>
        <v>0</v>
      </c>
    </row>
    <row r="4" customFormat="false" ht="12.8" hidden="false" customHeight="false" outlineLevel="0" collapsed="false">
      <c r="C4" s="54" t="n">
        <v>2</v>
      </c>
      <c r="D4" s="54" t="n">
        <v>2039</v>
      </c>
      <c r="E4" s="54" t="n">
        <v>37548</v>
      </c>
      <c r="F4" s="76" t="n">
        <f aca="false">E4/12</f>
        <v>3129</v>
      </c>
      <c r="G4" s="77" t="n">
        <v>1</v>
      </c>
      <c r="I4" s="54" t="n">
        <f aca="false">'Grilles et calculs individuels'!$K$74-C4</f>
        <v>2013</v>
      </c>
      <c r="J4" s="69" t="n">
        <f aca="false">MIN(VLOOKUP($I4,$D$3:$G$74,3,0), 'Grilles et calculs individuels'!C5*VLOOKUP($I4,'données complémentaires'!$A$3:$D$73,4,0))*VLOOKUP($I4,$D$3:$G$74, 4,0)</f>
        <v>2415.5998</v>
      </c>
      <c r="K4" s="69" t="n">
        <f aca="false">MIN(VLOOKUP($I4,$D$3:$G$74,3,0), 'Grilles et calculs individuels'!D5*VLOOKUP($I4,'données complémentaires'!$A$3:$D$73,4,0))*VLOOKUP($I4,$D$3:$G$74, 4,0)</f>
        <v>3126.118</v>
      </c>
      <c r="L4" s="69" t="n">
        <f aca="false">MIN(VLOOKUP($I4,$D$3:$G$74,3,0), 'Grilles et calculs individuels'!E5*VLOOKUP($I4,'données complémentaires'!$A$3:$D$73,4,0))*VLOOKUP($I4,$D$3:$G$74, 4,0)</f>
        <v>3126.118</v>
      </c>
      <c r="M4" s="69" t="n">
        <f aca="false">MIN(VLOOKUP($I4,$D$3:$G$74,3,0), 'Grilles et calculs individuels'!F5*VLOOKUP($I4,'données complémentaires'!$A$3:$D$73,4,0))*VLOOKUP($I4,$D$3:$G$74, 4,0)</f>
        <v>3086.33749</v>
      </c>
      <c r="N4" s="69" t="n">
        <f aca="false">MIN(VLOOKUP($I4,$D$3:$G$74,3,0), 'Grilles et calculs individuels'!G5*VLOOKUP($I4,'données complémentaires'!$A$3:$D$73,4,0))*VLOOKUP($I4,$D$3:$G$74, 4,0)</f>
        <v>1885.57794</v>
      </c>
      <c r="O4" s="69" t="n">
        <f aca="false">MIN(VLOOKUP($I4,$D$3:$G$74,3,0), 'Grilles et calculs individuels'!H5*VLOOKUP($I4,'données complémentaires'!$A$3:$D$73,4,0))*VLOOKUP($I4,$D$3:$G$74, 4,0)</f>
        <v>1885.57794</v>
      </c>
      <c r="P4" s="69" t="n">
        <f aca="false">MIN(VLOOKUP($I4,$D$3:$G$74,3,0), 'Grilles et calculs individuels'!I5*VLOOKUP($I4,'données complémentaires'!$A$3:$D$73,4,0))*VLOOKUP($I4,$D$3:$G$74, 4,0)</f>
        <v>1885.57794</v>
      </c>
      <c r="Q4" s="69" t="n">
        <f aca="false">MIN(VLOOKUP($I4,$D$3:$G$74,3,0), 'Grilles et calculs individuels'!J5*VLOOKUP($I4,'données complémentaires'!$A$3:$D$73,4,0))*VLOOKUP($I4,$D$3:$G$74, 4,0)</f>
        <v>3086.33749</v>
      </c>
    </row>
    <row r="5" customFormat="false" ht="12.8" hidden="false" customHeight="false" outlineLevel="0" collapsed="false">
      <c r="C5" s="54" t="n">
        <v>3</v>
      </c>
      <c r="D5" s="54" t="n">
        <v>2038</v>
      </c>
      <c r="E5" s="54" t="n">
        <v>37548</v>
      </c>
      <c r="F5" s="76" t="n">
        <f aca="false">E5/12</f>
        <v>3129</v>
      </c>
      <c r="G5" s="77" t="n">
        <v>1</v>
      </c>
      <c r="H5" s="78"/>
      <c r="I5" s="54" t="n">
        <f aca="false">'Grilles et calculs individuels'!$K$74-C5</f>
        <v>2012</v>
      </c>
      <c r="J5" s="69" t="n">
        <f aca="false">MIN(VLOOKUP($I5,$D$3:$G$74,3,0), 'Grilles et calculs individuels'!C6*VLOOKUP($I5,'données complémentaires'!$A$3:$D$73,4,0))*VLOOKUP($I5,$D$3:$G$74, 4,0)</f>
        <v>2434.6766</v>
      </c>
      <c r="K5" s="69" t="n">
        <f aca="false">MIN(VLOOKUP($I5,$D$3:$G$74,3,0), 'Grilles et calculs individuels'!D6*VLOOKUP($I5,'données complémentaires'!$A$3:$D$73,4,0))*VLOOKUP($I5,$D$3:$G$74, 4,0)</f>
        <v>3094.651</v>
      </c>
      <c r="L5" s="69" t="n">
        <f aca="false">MIN(VLOOKUP($I5,$D$3:$G$74,3,0), 'Grilles et calculs individuels'!E6*VLOOKUP($I5,'données complémentaires'!$A$3:$D$73,4,0))*VLOOKUP($I5,$D$3:$G$74, 4,0)</f>
        <v>3094.651</v>
      </c>
      <c r="M5" s="69" t="n">
        <f aca="false">MIN(VLOOKUP($I5,$D$3:$G$74,3,0), 'Grilles et calculs individuels'!F6*VLOOKUP($I5,'données complémentaires'!$A$3:$D$73,4,0))*VLOOKUP($I5,$D$3:$G$74, 4,0)</f>
        <v>3094.651</v>
      </c>
      <c r="N5" s="69" t="n">
        <f aca="false">MIN(VLOOKUP($I5,$D$3:$G$74,3,0), 'Grilles et calculs individuels'!G6*VLOOKUP($I5,'données complémentaires'!$A$3:$D$73,4,0))*VLOOKUP($I5,$D$3:$G$74, 4,0)</f>
        <v>1900.46898</v>
      </c>
      <c r="O5" s="69" t="n">
        <f aca="false">MIN(VLOOKUP($I5,$D$3:$G$74,3,0), 'Grilles et calculs individuels'!H6*VLOOKUP($I5,'données complémentaires'!$A$3:$D$73,4,0))*VLOOKUP($I5,$D$3:$G$74, 4,0)</f>
        <v>1900.46898</v>
      </c>
      <c r="P5" s="69" t="n">
        <f aca="false">MIN(VLOOKUP($I5,$D$3:$G$74,3,0), 'Grilles et calculs individuels'!I6*VLOOKUP($I5,'données complémentaires'!$A$3:$D$73,4,0))*VLOOKUP($I5,$D$3:$G$74, 4,0)</f>
        <v>1900.46898</v>
      </c>
      <c r="Q5" s="69" t="n">
        <f aca="false">MIN(VLOOKUP($I5,$D$3:$G$74,3,0), 'Grilles et calculs individuels'!J6*VLOOKUP($I5,'données complémentaires'!$A$3:$D$73,4,0))*VLOOKUP($I5,$D$3:$G$74, 4,0)</f>
        <v>3094.651</v>
      </c>
    </row>
    <row r="6" customFormat="false" ht="12.8" hidden="false" customHeight="false" outlineLevel="0" collapsed="false">
      <c r="C6" s="54" t="n">
        <v>4</v>
      </c>
      <c r="D6" s="54" t="n">
        <v>2037</v>
      </c>
      <c r="E6" s="54" t="n">
        <v>37548</v>
      </c>
      <c r="F6" s="76" t="n">
        <f aca="false">E6/12</f>
        <v>3129</v>
      </c>
      <c r="G6" s="77" t="n">
        <v>1</v>
      </c>
      <c r="H6" s="78"/>
      <c r="I6" s="54" t="n">
        <f aca="false">'Grilles et calculs individuels'!$K$74-C6</f>
        <v>2011</v>
      </c>
      <c r="J6" s="69" t="n">
        <f aca="false">MIN(VLOOKUP($I6,$D$3:$G$74,3,0), 'Grilles et calculs individuels'!C7*VLOOKUP($I6,'données complémentaires'!$A$3:$D$73,4,0))*VLOOKUP($I6,$D$3:$G$74, 4,0)</f>
        <v>2434.6766</v>
      </c>
      <c r="K6" s="69" t="n">
        <f aca="false">MIN(VLOOKUP($I6,$D$3:$G$74,3,0), 'Grilles et calculs individuels'!D7*VLOOKUP($I6,'données complémentaires'!$A$3:$D$73,4,0))*VLOOKUP($I6,$D$3:$G$74, 4,0)</f>
        <v>3007.866</v>
      </c>
      <c r="L6" s="69" t="n">
        <f aca="false">MIN(VLOOKUP($I6,$D$3:$G$74,3,0), 'Grilles et calculs individuels'!E7*VLOOKUP($I6,'données complémentaires'!$A$3:$D$73,4,0))*VLOOKUP($I6,$D$3:$G$74, 4,0)</f>
        <v>3007.866</v>
      </c>
      <c r="M6" s="69" t="n">
        <f aca="false">MIN(VLOOKUP($I6,$D$3:$G$74,3,0), 'Grilles et calculs individuels'!F7*VLOOKUP($I6,'données complémentaires'!$A$3:$D$73,4,0))*VLOOKUP($I6,$D$3:$G$74, 4,0)</f>
        <v>3007.866</v>
      </c>
      <c r="N6" s="69" t="n">
        <f aca="false">MIN(VLOOKUP($I6,$D$3:$G$74,3,0), 'Grilles et calculs individuels'!G7*VLOOKUP($I6,'données complémentaires'!$A$3:$D$73,4,0))*VLOOKUP($I6,$D$3:$G$74, 4,0)</f>
        <v>1900.46898</v>
      </c>
      <c r="O6" s="69" t="n">
        <f aca="false">MIN(VLOOKUP($I6,$D$3:$G$74,3,0), 'Grilles et calculs individuels'!H7*VLOOKUP($I6,'données complémentaires'!$A$3:$D$73,4,0))*VLOOKUP($I6,$D$3:$G$74, 4,0)</f>
        <v>1900.46898</v>
      </c>
      <c r="P6" s="69" t="n">
        <f aca="false">MIN(VLOOKUP($I6,$D$3:$G$74,3,0), 'Grilles et calculs individuels'!I7*VLOOKUP($I6,'données complémentaires'!$A$3:$D$73,4,0))*VLOOKUP($I6,$D$3:$G$74, 4,0)</f>
        <v>1900.46898</v>
      </c>
      <c r="Q6" s="69" t="n">
        <f aca="false">MIN(VLOOKUP($I6,$D$3:$G$74,3,0), 'Grilles et calculs individuels'!J7*VLOOKUP($I6,'données complémentaires'!$A$3:$D$73,4,0))*VLOOKUP($I6,$D$3:$G$74, 4,0)</f>
        <v>3007.866</v>
      </c>
    </row>
    <row r="7" customFormat="false" ht="12.8" hidden="false" customHeight="false" outlineLevel="0" collapsed="false">
      <c r="C7" s="54" t="n">
        <v>5</v>
      </c>
      <c r="D7" s="54" t="n">
        <v>2036</v>
      </c>
      <c r="E7" s="54" t="n">
        <v>37548</v>
      </c>
      <c r="F7" s="76" t="n">
        <f aca="false">E7/12</f>
        <v>3129</v>
      </c>
      <c r="G7" s="77" t="n">
        <v>1</v>
      </c>
      <c r="H7" s="78"/>
      <c r="I7" s="54" t="n">
        <f aca="false">'Grilles et calculs individuels'!$K$74-C7</f>
        <v>2010</v>
      </c>
      <c r="J7" s="69" t="n">
        <f aca="false">MIN(VLOOKUP($I7,$D$3:$G$74,3,0), 'Grilles et calculs individuels'!C8*VLOOKUP($I7,'données complémentaires'!$A$3:$D$73,4,0))*VLOOKUP($I7,$D$3:$G$74, 4,0)</f>
        <v>2456.138</v>
      </c>
      <c r="K7" s="69" t="n">
        <f aca="false">MIN(VLOOKUP($I7,$D$3:$G$74,3,0), 'Grilles et calculs individuels'!D8*VLOOKUP($I7,'données complémentaires'!$A$3:$D$73,4,0))*VLOOKUP($I7,$D$3:$G$74, 4,0)</f>
        <v>2971.55</v>
      </c>
      <c r="L7" s="69" t="n">
        <f aca="false">MIN(VLOOKUP($I7,$D$3:$G$74,3,0), 'Grilles et calculs individuels'!E8*VLOOKUP($I7,'données complémentaires'!$A$3:$D$73,4,0))*VLOOKUP($I7,$D$3:$G$74, 4,0)</f>
        <v>2971.55</v>
      </c>
      <c r="M7" s="69" t="n">
        <f aca="false">MIN(VLOOKUP($I7,$D$3:$G$74,3,0), 'Grilles et calculs individuels'!F8*VLOOKUP($I7,'données complémentaires'!$A$3:$D$73,4,0))*VLOOKUP($I7,$D$3:$G$74, 4,0)</f>
        <v>2971.55</v>
      </c>
      <c r="N7" s="69" t="n">
        <f aca="false">MIN(VLOOKUP($I7,$D$3:$G$74,3,0), 'Grilles et calculs individuels'!G8*VLOOKUP($I7,'données complémentaires'!$A$3:$D$73,4,0))*VLOOKUP($I7,$D$3:$G$74, 4,0)</f>
        <v>1917.2214</v>
      </c>
      <c r="O7" s="69" t="n">
        <f aca="false">MIN(VLOOKUP($I7,$D$3:$G$74,3,0), 'Grilles et calculs individuels'!H8*VLOOKUP($I7,'données complémentaires'!$A$3:$D$73,4,0))*VLOOKUP($I7,$D$3:$G$74, 4,0)</f>
        <v>1917.2214</v>
      </c>
      <c r="P7" s="69" t="n">
        <f aca="false">MIN(VLOOKUP($I7,$D$3:$G$74,3,0), 'Grilles et calculs individuels'!I8*VLOOKUP($I7,'données complémentaires'!$A$3:$D$73,4,0))*VLOOKUP($I7,$D$3:$G$74, 4,0)</f>
        <v>1917.2214</v>
      </c>
      <c r="Q7" s="69" t="n">
        <f aca="false">MIN(VLOOKUP($I7,$D$3:$G$74,3,0), 'Grilles et calculs individuels'!J8*VLOOKUP($I7,'données complémentaires'!$A$3:$D$73,4,0))*VLOOKUP($I7,$D$3:$G$74, 4,0)</f>
        <v>2971.55</v>
      </c>
    </row>
    <row r="8" customFormat="false" ht="12.8" hidden="false" customHeight="false" outlineLevel="0" collapsed="false">
      <c r="C8" s="54" t="n">
        <v>6</v>
      </c>
      <c r="D8" s="54" t="n">
        <v>2035</v>
      </c>
      <c r="E8" s="54" t="n">
        <v>37548</v>
      </c>
      <c r="F8" s="76" t="n">
        <f aca="false">E8/12</f>
        <v>3129</v>
      </c>
      <c r="G8" s="77" t="n">
        <v>1</v>
      </c>
      <c r="H8" s="78"/>
      <c r="I8" s="54" t="n">
        <f aca="false">'Grilles et calculs individuels'!$K$74-C8</f>
        <v>2009</v>
      </c>
      <c r="J8" s="69" t="n">
        <f aca="false">MIN(VLOOKUP($I8,$D$3:$G$74,3,0), 'Grilles et calculs individuels'!C9*VLOOKUP($I8,'données complémentaires'!$A$3:$D$73,4,0))*VLOOKUP($I8,$D$3:$G$74, 4,0)</f>
        <v>2460.26499505611</v>
      </c>
      <c r="K8" s="69" t="n">
        <f aca="false">MIN(VLOOKUP($I8,$D$3:$G$74,3,0), 'Grilles et calculs individuels'!D9*VLOOKUP($I8,'données complémentaires'!$A$3:$D$73,4,0))*VLOOKUP($I8,$D$3:$G$74, 4,0)</f>
        <v>2973.36</v>
      </c>
      <c r="L8" s="69" t="n">
        <f aca="false">MIN(VLOOKUP($I8,$D$3:$G$74,3,0), 'Grilles et calculs individuels'!E9*VLOOKUP($I8,'données complémentaires'!$A$3:$D$73,4,0))*VLOOKUP($I8,$D$3:$G$74, 4,0)</f>
        <v>2973.36</v>
      </c>
      <c r="M8" s="69" t="n">
        <f aca="false">MIN(VLOOKUP($I8,$D$3:$G$74,3,0), 'Grilles et calculs individuels'!F9*VLOOKUP($I8,'données complémentaires'!$A$3:$D$73,4,0))*VLOOKUP($I8,$D$3:$G$74, 4,0)</f>
        <v>2973.36</v>
      </c>
      <c r="N8" s="69" t="n">
        <f aca="false">MIN(VLOOKUP($I8,$D$3:$G$74,3,0), 'Grilles et calculs individuels'!G9*VLOOKUP($I8,'données complémentaires'!$A$3:$D$73,4,0))*VLOOKUP($I8,$D$3:$G$74, 4,0)</f>
        <v>1920.44286525939</v>
      </c>
      <c r="O8" s="69" t="n">
        <f aca="false">MIN(VLOOKUP($I8,$D$3:$G$74,3,0), 'Grilles et calculs individuels'!H9*VLOOKUP($I8,'données complémentaires'!$A$3:$D$73,4,0))*VLOOKUP($I8,$D$3:$G$74, 4,0)</f>
        <v>1920.44286525939</v>
      </c>
      <c r="P8" s="69" t="n">
        <f aca="false">MIN(VLOOKUP($I8,$D$3:$G$74,3,0), 'Grilles et calculs individuels'!I9*VLOOKUP($I8,'données complémentaires'!$A$3:$D$73,4,0))*VLOOKUP($I8,$D$3:$G$74, 4,0)</f>
        <v>1920.44286525939</v>
      </c>
      <c r="Q8" s="69" t="n">
        <f aca="false">MIN(VLOOKUP($I8,$D$3:$G$74,3,0), 'Grilles et calculs individuels'!J9*VLOOKUP($I8,'données complémentaires'!$A$3:$D$73,4,0))*VLOOKUP($I8,$D$3:$G$74, 4,0)</f>
        <v>2973.36</v>
      </c>
    </row>
    <row r="9" customFormat="false" ht="12.8" hidden="false" customHeight="false" outlineLevel="0" collapsed="false">
      <c r="C9" s="54" t="n">
        <v>7</v>
      </c>
      <c r="D9" s="54" t="n">
        <v>2034</v>
      </c>
      <c r="E9" s="54" t="n">
        <v>37548</v>
      </c>
      <c r="F9" s="76" t="n">
        <f aca="false">E9/12</f>
        <v>3129</v>
      </c>
      <c r="G9" s="77" t="n">
        <v>1</v>
      </c>
      <c r="H9" s="78"/>
      <c r="I9" s="54" t="n">
        <f aca="false">'Grilles et calculs individuels'!$K$74-C9</f>
        <v>2008</v>
      </c>
      <c r="J9" s="69" t="n">
        <f aca="false">MIN(VLOOKUP($I9,$D$3:$G$74,3,0), 'Grilles et calculs individuels'!C10*VLOOKUP($I9,'données complémentaires'!$A$3:$D$73,4,0))*VLOOKUP($I9,$D$3:$G$74, 4,0)</f>
        <v>2459.2834394752</v>
      </c>
      <c r="K9" s="69" t="n">
        <f aca="false">MIN(VLOOKUP($I9,$D$3:$G$74,3,0), 'Grilles et calculs individuels'!D10*VLOOKUP($I9,'données complémentaires'!$A$3:$D$73,4,0))*VLOOKUP($I9,$D$3:$G$74, 4,0)</f>
        <v>2906.104</v>
      </c>
      <c r="L9" s="69" t="n">
        <f aca="false">MIN(VLOOKUP($I9,$D$3:$G$74,3,0), 'Grilles et calculs individuels'!E10*VLOOKUP($I9,'données complémentaires'!$A$3:$D$73,4,0))*VLOOKUP($I9,$D$3:$G$74, 4,0)</f>
        <v>2906.104</v>
      </c>
      <c r="M9" s="69" t="n">
        <f aca="false">MIN(VLOOKUP($I9,$D$3:$G$74,3,0), 'Grilles et calculs individuels'!F10*VLOOKUP($I9,'données complémentaires'!$A$3:$D$73,4,0))*VLOOKUP($I9,$D$3:$G$74, 4,0)</f>
        <v>2906.104</v>
      </c>
      <c r="N9" s="69" t="n">
        <f aca="false">MIN(VLOOKUP($I9,$D$3:$G$74,3,0), 'Grilles et calculs individuels'!G10*VLOOKUP($I9,'données complémentaires'!$A$3:$D$73,4,0))*VLOOKUP($I9,$D$3:$G$74, 4,0)</f>
        <v>1919.67667892743</v>
      </c>
      <c r="O9" s="69" t="n">
        <f aca="false">MIN(VLOOKUP($I9,$D$3:$G$74,3,0), 'Grilles et calculs individuels'!H10*VLOOKUP($I9,'données complémentaires'!$A$3:$D$73,4,0))*VLOOKUP($I9,$D$3:$G$74, 4,0)</f>
        <v>1919.67667892743</v>
      </c>
      <c r="P9" s="69" t="n">
        <f aca="false">MIN(VLOOKUP($I9,$D$3:$G$74,3,0), 'Grilles et calculs individuels'!I10*VLOOKUP($I9,'données complémentaires'!$A$3:$D$73,4,0))*VLOOKUP($I9,$D$3:$G$74, 4,0)</f>
        <v>1919.67667892743</v>
      </c>
      <c r="Q9" s="69" t="n">
        <f aca="false">MIN(VLOOKUP($I9,$D$3:$G$74,3,0), 'Grilles et calculs individuels'!J10*VLOOKUP($I9,'données complémentaires'!$A$3:$D$73,4,0))*VLOOKUP($I9,$D$3:$G$74, 4,0)</f>
        <v>2906.104</v>
      </c>
    </row>
    <row r="10" customFormat="false" ht="12.8" hidden="false" customHeight="false" outlineLevel="0" collapsed="false">
      <c r="C10" s="54" t="n">
        <v>8</v>
      </c>
      <c r="D10" s="54" t="n">
        <v>2033</v>
      </c>
      <c r="E10" s="54" t="n">
        <v>37548</v>
      </c>
      <c r="F10" s="76" t="n">
        <f aca="false">E10/12</f>
        <v>3129</v>
      </c>
      <c r="G10" s="77" t="n">
        <v>1</v>
      </c>
      <c r="H10" s="78"/>
      <c r="I10" s="54" t="n">
        <f aca="false">'Grilles et calculs individuels'!$K$74-C10</f>
        <v>2007</v>
      </c>
      <c r="J10" s="69" t="n">
        <f aca="false">MIN(VLOOKUP($I10,$D$3:$G$74,3,0), 'Grilles et calculs individuels'!C11*VLOOKUP($I10,'données complémentaires'!$A$3:$D$73,4,0))*VLOOKUP($I10,$D$3:$G$74, 4,0)</f>
        <v>2471.28919996797</v>
      </c>
      <c r="K10" s="69" t="n">
        <f aca="false">MIN(VLOOKUP($I10,$D$3:$G$74,3,0), 'Grilles et calculs individuels'!D11*VLOOKUP($I10,'données complémentaires'!$A$3:$D$73,4,0))*VLOOKUP($I10,$D$3:$G$74, 4,0)</f>
        <v>2840.238</v>
      </c>
      <c r="L10" s="69" t="n">
        <f aca="false">MIN(VLOOKUP($I10,$D$3:$G$74,3,0), 'Grilles et calculs individuels'!E11*VLOOKUP($I10,'données complémentaires'!$A$3:$D$73,4,0))*VLOOKUP($I10,$D$3:$G$74, 4,0)</f>
        <v>2840.238</v>
      </c>
      <c r="M10" s="69" t="n">
        <f aca="false">MIN(VLOOKUP($I10,$D$3:$G$74,3,0), 'Grilles et calculs individuels'!F11*VLOOKUP($I10,'données complémentaires'!$A$3:$D$73,4,0))*VLOOKUP($I10,$D$3:$G$74, 4,0)</f>
        <v>2840.238</v>
      </c>
      <c r="N10" s="69" t="n">
        <f aca="false">MIN(VLOOKUP($I10,$D$3:$G$74,3,0), 'Grilles et calculs individuels'!G11*VLOOKUP($I10,'données complémentaires'!$A$3:$D$73,4,0))*VLOOKUP($I10,$D$3:$G$74, 4,0)</f>
        <v>1929.04818042287</v>
      </c>
      <c r="O10" s="69" t="n">
        <f aca="false">MIN(VLOOKUP($I10,$D$3:$G$74,3,0), 'Grilles et calculs individuels'!H11*VLOOKUP($I10,'données complémentaires'!$A$3:$D$73,4,0))*VLOOKUP($I10,$D$3:$G$74, 4,0)</f>
        <v>1929.04818042287</v>
      </c>
      <c r="P10" s="69" t="n">
        <f aca="false">MIN(VLOOKUP($I10,$D$3:$G$74,3,0), 'Grilles et calculs individuels'!I11*VLOOKUP($I10,'données complémentaires'!$A$3:$D$73,4,0))*VLOOKUP($I10,$D$3:$G$74, 4,0)</f>
        <v>1929.04818042287</v>
      </c>
      <c r="Q10" s="69" t="n">
        <f aca="false">MIN(VLOOKUP($I10,$D$3:$G$74,3,0), 'Grilles et calculs individuels'!J11*VLOOKUP($I10,'données complémentaires'!$A$3:$D$73,4,0))*VLOOKUP($I10,$D$3:$G$74, 4,0)</f>
        <v>2840.238</v>
      </c>
    </row>
    <row r="11" customFormat="false" ht="12.8" hidden="false" customHeight="false" outlineLevel="0" collapsed="false">
      <c r="C11" s="54" t="n">
        <v>9</v>
      </c>
      <c r="D11" s="54" t="n">
        <v>2032</v>
      </c>
      <c r="E11" s="54" t="n">
        <v>37548</v>
      </c>
      <c r="F11" s="76" t="n">
        <f aca="false">E11/12</f>
        <v>3129</v>
      </c>
      <c r="G11" s="77" t="n">
        <v>1</v>
      </c>
      <c r="H11" s="78"/>
      <c r="I11" s="54" t="n">
        <f aca="false">'Grilles et calculs individuels'!$K$74-C11</f>
        <v>2006</v>
      </c>
      <c r="J11" s="69" t="n">
        <f aca="false">MIN(VLOOKUP($I11,$D$3:$G$74,3,0), 'Grilles et calculs individuels'!C12*VLOOKUP($I11,'données complémentaires'!$A$3:$D$73,4,0))*VLOOKUP($I11,$D$3:$G$74, 4,0)</f>
        <v>2491.10771577816</v>
      </c>
      <c r="K11" s="69" t="n">
        <f aca="false">MIN(VLOOKUP($I11,$D$3:$G$74,3,0), 'Grilles et calculs individuels'!D12*VLOOKUP($I11,'données complémentaires'!$A$3:$D$73,4,0))*VLOOKUP($I11,$D$3:$G$74, 4,0)</f>
        <v>2790.942</v>
      </c>
      <c r="L11" s="69" t="n">
        <f aca="false">MIN(VLOOKUP($I11,$D$3:$G$74,3,0), 'Grilles et calculs individuels'!E12*VLOOKUP($I11,'données complémentaires'!$A$3:$D$73,4,0))*VLOOKUP($I11,$D$3:$G$74, 4,0)</f>
        <v>2790.942</v>
      </c>
      <c r="M11" s="69" t="n">
        <f aca="false">MIN(VLOOKUP($I11,$D$3:$G$74,3,0), 'Grilles et calculs individuels'!F12*VLOOKUP($I11,'données complémentaires'!$A$3:$D$73,4,0))*VLOOKUP($I11,$D$3:$G$74, 4,0)</f>
        <v>2790.942</v>
      </c>
      <c r="N11" s="69" t="n">
        <f aca="false">MIN(VLOOKUP($I11,$D$3:$G$74,3,0), 'Grilles et calculs individuels'!G12*VLOOKUP($I11,'données complémentaires'!$A$3:$D$73,4,0))*VLOOKUP($I11,$D$3:$G$74, 4,0)</f>
        <v>1944.51819172824</v>
      </c>
      <c r="O11" s="69" t="n">
        <f aca="false">MIN(VLOOKUP($I11,$D$3:$G$74,3,0), 'Grilles et calculs individuels'!H12*VLOOKUP($I11,'données complémentaires'!$A$3:$D$73,4,0))*VLOOKUP($I11,$D$3:$G$74, 4,0)</f>
        <v>1944.51819172824</v>
      </c>
      <c r="P11" s="69" t="n">
        <f aca="false">MIN(VLOOKUP($I11,$D$3:$G$74,3,0), 'Grilles et calculs individuels'!I12*VLOOKUP($I11,'données complémentaires'!$A$3:$D$73,4,0))*VLOOKUP($I11,$D$3:$G$74, 4,0)</f>
        <v>1944.51819172824</v>
      </c>
      <c r="Q11" s="69" t="n">
        <f aca="false">MIN(VLOOKUP($I11,$D$3:$G$74,3,0), 'Grilles et calculs individuels'!J12*VLOOKUP($I11,'données complémentaires'!$A$3:$D$73,4,0))*VLOOKUP($I11,$D$3:$G$74, 4,0)</f>
        <v>2790.942</v>
      </c>
    </row>
    <row r="12" customFormat="false" ht="12.8" hidden="false" customHeight="false" outlineLevel="0" collapsed="false">
      <c r="C12" s="54" t="n">
        <v>10</v>
      </c>
      <c r="D12" s="54" t="n">
        <v>2031</v>
      </c>
      <c r="E12" s="54" t="n">
        <v>37548</v>
      </c>
      <c r="F12" s="76" t="n">
        <f aca="false">E12/12</f>
        <v>3129</v>
      </c>
      <c r="G12" s="77" t="n">
        <v>1</v>
      </c>
      <c r="H12" s="78"/>
      <c r="I12" s="54" t="n">
        <f aca="false">'Grilles et calculs individuels'!$K$74-C12</f>
        <v>2005</v>
      </c>
      <c r="J12" s="69" t="n">
        <f aca="false">MIN(VLOOKUP($I12,$D$3:$G$74,3,0), 'Grilles et calculs individuels'!C13*VLOOKUP($I12,'données complémentaires'!$A$3:$D$73,4,0))*VLOOKUP($I12,$D$3:$G$74, 4,0)</f>
        <v>2502.406892041</v>
      </c>
      <c r="K12" s="69" t="n">
        <f aca="false">MIN(VLOOKUP($I12,$D$3:$G$74,3,0), 'Grilles et calculs individuels'!D13*VLOOKUP($I12,'données complémentaires'!$A$3:$D$73,4,0))*VLOOKUP($I12,$D$3:$G$74, 4,0)</f>
        <v>2757.536</v>
      </c>
      <c r="L12" s="69" t="n">
        <f aca="false">MIN(VLOOKUP($I12,$D$3:$G$74,3,0), 'Grilles et calculs individuels'!E13*VLOOKUP($I12,'données complémentaires'!$A$3:$D$73,4,0))*VLOOKUP($I12,$D$3:$G$74, 4,0)</f>
        <v>2757.536</v>
      </c>
      <c r="M12" s="69" t="n">
        <f aca="false">MIN(VLOOKUP($I12,$D$3:$G$74,3,0), 'Grilles et calculs individuels'!F13*VLOOKUP($I12,'données complémentaires'!$A$3:$D$73,4,0))*VLOOKUP($I12,$D$3:$G$74, 4,0)</f>
        <v>2757.536</v>
      </c>
      <c r="N12" s="69" t="n">
        <f aca="false">MIN(VLOOKUP($I12,$D$3:$G$74,3,0), 'Grilles et calculs individuels'!G13*VLOOKUP($I12,'données complémentaires'!$A$3:$D$73,4,0))*VLOOKUP($I12,$D$3:$G$74, 4,0)</f>
        <v>1953.33814505882</v>
      </c>
      <c r="O12" s="69" t="n">
        <f aca="false">MIN(VLOOKUP($I12,$D$3:$G$74,3,0), 'Grilles et calculs individuels'!H13*VLOOKUP($I12,'données complémentaires'!$A$3:$D$73,4,0))*VLOOKUP($I12,$D$3:$G$74, 4,0)</f>
        <v>1953.33814505882</v>
      </c>
      <c r="P12" s="69" t="n">
        <f aca="false">MIN(VLOOKUP($I12,$D$3:$G$74,3,0), 'Grilles et calculs individuels'!I13*VLOOKUP($I12,'données complémentaires'!$A$3:$D$73,4,0))*VLOOKUP($I12,$D$3:$G$74, 4,0)</f>
        <v>1953.33814505882</v>
      </c>
      <c r="Q12" s="69" t="n">
        <f aca="false">MIN(VLOOKUP($I12,$D$3:$G$74,3,0), 'Grilles et calculs individuels'!J13*VLOOKUP($I12,'données complémentaires'!$A$3:$D$73,4,0))*VLOOKUP($I12,$D$3:$G$74, 4,0)</f>
        <v>2757.536</v>
      </c>
    </row>
    <row r="13" customFormat="false" ht="12.8" hidden="false" customHeight="false" outlineLevel="0" collapsed="false">
      <c r="C13" s="54" t="n">
        <v>11</v>
      </c>
      <c r="D13" s="54" t="n">
        <v>2030</v>
      </c>
      <c r="E13" s="54" t="n">
        <v>37548</v>
      </c>
      <c r="F13" s="76" t="n">
        <f aca="false">E13/12</f>
        <v>3129</v>
      </c>
      <c r="G13" s="77" t="n">
        <v>1</v>
      </c>
      <c r="H13" s="78"/>
      <c r="I13" s="54" t="n">
        <f aca="false">'Grilles et calculs individuels'!$K$74-C13</f>
        <v>2004</v>
      </c>
      <c r="J13" s="69" t="n">
        <f aca="false">MIN(VLOOKUP($I13,$D$3:$G$74,3,0), 'Grilles et calculs individuels'!C14*VLOOKUP($I13,'données complémentaires'!$A$3:$D$73,4,0))*VLOOKUP($I13,$D$3:$G$74, 4,0)</f>
        <v>2526.73882024854</v>
      </c>
      <c r="K13" s="69" t="n">
        <f aca="false">MIN(VLOOKUP($I13,$D$3:$G$74,3,0), 'Grilles et calculs individuels'!D14*VLOOKUP($I13,'données complémentaires'!$A$3:$D$73,4,0))*VLOOKUP($I13,$D$3:$G$74, 4,0)</f>
        <v>2763.216</v>
      </c>
      <c r="L13" s="69" t="n">
        <f aca="false">MIN(VLOOKUP($I13,$D$3:$G$74,3,0), 'Grilles et calculs individuels'!E14*VLOOKUP($I13,'données complémentaires'!$A$3:$D$73,4,0))*VLOOKUP($I13,$D$3:$G$74, 4,0)</f>
        <v>2763.216</v>
      </c>
      <c r="M13" s="69" t="n">
        <f aca="false">MIN(VLOOKUP($I13,$D$3:$G$74,3,0), 'Grilles et calculs individuels'!F14*VLOOKUP($I13,'données complémentaires'!$A$3:$D$73,4,0))*VLOOKUP($I13,$D$3:$G$74, 4,0)</f>
        <v>2763.216</v>
      </c>
      <c r="N13" s="69" t="n">
        <f aca="false">MIN(VLOOKUP($I13,$D$3:$G$74,3,0), 'Grilles et calculs individuels'!G14*VLOOKUP($I13,'données complémentaires'!$A$3:$D$73,4,0))*VLOOKUP($I13,$D$3:$G$74, 4,0)</f>
        <v>1972.33125271921</v>
      </c>
      <c r="O13" s="69" t="n">
        <f aca="false">MIN(VLOOKUP($I13,$D$3:$G$74,3,0), 'Grilles et calculs individuels'!H14*VLOOKUP($I13,'données complémentaires'!$A$3:$D$73,4,0))*VLOOKUP($I13,$D$3:$G$74, 4,0)</f>
        <v>1972.33125271921</v>
      </c>
      <c r="P13" s="69" t="n">
        <f aca="false">MIN(VLOOKUP($I13,$D$3:$G$74,3,0), 'Grilles et calculs individuels'!I14*VLOOKUP($I13,'données complémentaires'!$A$3:$D$73,4,0))*VLOOKUP($I13,$D$3:$G$74, 4,0)</f>
        <v>1928.16683351769</v>
      </c>
      <c r="Q13" s="69" t="n">
        <f aca="false">MIN(VLOOKUP($I13,$D$3:$G$74,3,0), 'Grilles et calculs individuels'!J14*VLOOKUP($I13,'données complémentaires'!$A$3:$D$73,4,0))*VLOOKUP($I13,$D$3:$G$74, 4,0)</f>
        <v>2763.216</v>
      </c>
    </row>
    <row r="14" customFormat="false" ht="12.8" hidden="false" customHeight="false" outlineLevel="0" collapsed="false">
      <c r="C14" s="54" t="n">
        <v>12</v>
      </c>
      <c r="D14" s="54" t="n">
        <v>2029</v>
      </c>
      <c r="E14" s="54" t="n">
        <v>37548</v>
      </c>
      <c r="F14" s="76" t="n">
        <f aca="false">E14/12</f>
        <v>3129</v>
      </c>
      <c r="G14" s="77" t="n">
        <v>1</v>
      </c>
      <c r="H14" s="78"/>
      <c r="I14" s="54" t="n">
        <f aca="false">'Grilles et calculs individuels'!$K$74-C14</f>
        <v>2003</v>
      </c>
      <c r="J14" s="69" t="n">
        <f aca="false">MIN(VLOOKUP($I14,$D$3:$G$74,3,0), 'Grilles et calculs individuels'!C15*VLOOKUP($I14,'données complémentaires'!$A$3:$D$73,4,0))*VLOOKUP($I14,$D$3:$G$74, 4,0)</f>
        <v>2435.65943613404</v>
      </c>
      <c r="K14" s="69" t="n">
        <f aca="false">MIN(VLOOKUP($I14,$D$3:$G$74,3,0), 'Grilles et calculs individuels'!D15*VLOOKUP($I14,'données complémentaires'!$A$3:$D$73,4,0))*VLOOKUP($I14,$D$3:$G$74, 4,0)</f>
        <v>2757.888</v>
      </c>
      <c r="L14" s="69" t="n">
        <f aca="false">MIN(VLOOKUP($I14,$D$3:$G$74,3,0), 'Grilles et calculs individuels'!E15*VLOOKUP($I14,'données complémentaires'!$A$3:$D$73,4,0))*VLOOKUP($I14,$D$3:$G$74, 4,0)</f>
        <v>2757.888</v>
      </c>
      <c r="M14" s="69" t="n">
        <f aca="false">MIN(VLOOKUP($I14,$D$3:$G$74,3,0), 'Grilles et calculs individuels'!F15*VLOOKUP($I14,'données complémentaires'!$A$3:$D$73,4,0))*VLOOKUP($I14,$D$3:$G$74, 4,0)</f>
        <v>2757.888</v>
      </c>
      <c r="N14" s="69" t="n">
        <f aca="false">MIN(VLOOKUP($I14,$D$3:$G$74,3,0), 'Grilles et calculs individuels'!G15*VLOOKUP($I14,'données complémentaires'!$A$3:$D$73,4,0))*VLOOKUP($I14,$D$3:$G$74, 4,0)</f>
        <v>1994.1709198851</v>
      </c>
      <c r="O14" s="69" t="n">
        <f aca="false">MIN(VLOOKUP($I14,$D$3:$G$74,3,0), 'Grilles et calculs individuels'!H15*VLOOKUP($I14,'données complémentaires'!$A$3:$D$73,4,0))*VLOOKUP($I14,$D$3:$G$74, 4,0)</f>
        <v>1994.1709198851</v>
      </c>
      <c r="P14" s="69" t="n">
        <f aca="false">MIN(VLOOKUP($I14,$D$3:$G$74,3,0), 'Grilles et calculs individuels'!I15*VLOOKUP($I14,'données complémentaires'!$A$3:$D$73,4,0))*VLOOKUP($I14,$D$3:$G$74, 4,0)</f>
        <v>1949.51746710232</v>
      </c>
      <c r="Q14" s="69" t="n">
        <f aca="false">MIN(VLOOKUP($I14,$D$3:$G$74,3,0), 'Grilles et calculs individuels'!J15*VLOOKUP($I14,'données complémentaires'!$A$3:$D$73,4,0))*VLOOKUP($I14,$D$3:$G$74, 4,0)</f>
        <v>2757.888</v>
      </c>
    </row>
    <row r="15" customFormat="false" ht="12.8" hidden="false" customHeight="false" outlineLevel="0" collapsed="false">
      <c r="C15" s="54" t="n">
        <v>13</v>
      </c>
      <c r="D15" s="54" t="n">
        <v>2028</v>
      </c>
      <c r="E15" s="54" t="n">
        <v>37548</v>
      </c>
      <c r="F15" s="76" t="n">
        <f aca="false">E15/12</f>
        <v>3129</v>
      </c>
      <c r="G15" s="77" t="n">
        <v>1</v>
      </c>
      <c r="H15" s="78"/>
      <c r="I15" s="54" t="n">
        <f aca="false">'Grilles et calculs individuels'!$K$74-C15</f>
        <v>2002</v>
      </c>
      <c r="J15" s="69" t="n">
        <f aca="false">MIN(VLOOKUP($I15,$D$3:$G$74,3,0), 'Grilles et calculs individuels'!C16*VLOOKUP($I15,'données complémentaires'!$A$3:$D$73,4,0))*VLOOKUP($I15,$D$3:$G$74, 4,0)</f>
        <v>2456.11208592115</v>
      </c>
      <c r="K15" s="69" t="n">
        <f aca="false">MIN(VLOOKUP($I15,$D$3:$G$74,3,0), 'Grilles et calculs individuels'!D16*VLOOKUP($I15,'données complémentaires'!$A$3:$D$73,4,0))*VLOOKUP($I15,$D$3:$G$74, 4,0)</f>
        <v>2709.504</v>
      </c>
      <c r="L15" s="69" t="n">
        <f aca="false">MIN(VLOOKUP($I15,$D$3:$G$74,3,0), 'Grilles et calculs individuels'!E16*VLOOKUP($I15,'données complémentaires'!$A$3:$D$73,4,0))*VLOOKUP($I15,$D$3:$G$74, 4,0)</f>
        <v>2709.504</v>
      </c>
      <c r="M15" s="69" t="n">
        <f aca="false">MIN(VLOOKUP($I15,$D$3:$G$74,3,0), 'Grilles et calculs individuels'!F16*VLOOKUP($I15,'données complémentaires'!$A$3:$D$73,4,0))*VLOOKUP($I15,$D$3:$G$74, 4,0)</f>
        <v>2709.504</v>
      </c>
      <c r="N15" s="69" t="n">
        <f aca="false">MIN(VLOOKUP($I15,$D$3:$G$74,3,0), 'Grilles et calculs individuels'!G16*VLOOKUP($I15,'données complémentaires'!$A$3:$D$73,4,0))*VLOOKUP($I15,$D$3:$G$74, 4,0)</f>
        <v>2010.91631492473</v>
      </c>
      <c r="O15" s="69" t="n">
        <f aca="false">MIN(VLOOKUP($I15,$D$3:$G$74,3,0), 'Grilles et calculs individuels'!H16*VLOOKUP($I15,'données complémentaires'!$A$3:$D$73,4,0))*VLOOKUP($I15,$D$3:$G$74, 4,0)</f>
        <v>2010.91631492473</v>
      </c>
      <c r="P15" s="69" t="n">
        <f aca="false">MIN(VLOOKUP($I15,$D$3:$G$74,3,0), 'Grilles et calculs individuels'!I16*VLOOKUP($I15,'données complémentaires'!$A$3:$D$73,4,0))*VLOOKUP($I15,$D$3:$G$74, 4,0)</f>
        <v>1965.88789944478</v>
      </c>
      <c r="Q15" s="69" t="n">
        <f aca="false">MIN(VLOOKUP($I15,$D$3:$G$74,3,0), 'Grilles et calculs individuels'!J16*VLOOKUP($I15,'données complémentaires'!$A$3:$D$73,4,0))*VLOOKUP($I15,$D$3:$G$74, 4,0)</f>
        <v>2709.504</v>
      </c>
    </row>
    <row r="16" customFormat="false" ht="12.8" hidden="false" customHeight="false" outlineLevel="0" collapsed="false">
      <c r="C16" s="54" t="n">
        <v>14</v>
      </c>
      <c r="D16" s="54" t="n">
        <v>2027</v>
      </c>
      <c r="E16" s="54" t="n">
        <v>37548</v>
      </c>
      <c r="F16" s="76" t="n">
        <f aca="false">E16/12</f>
        <v>3129</v>
      </c>
      <c r="G16" s="77" t="n">
        <v>1</v>
      </c>
      <c r="H16" s="78"/>
      <c r="I16" s="54" t="n">
        <f aca="false">'Grilles et calculs individuels'!$K$74-C16</f>
        <v>2001</v>
      </c>
      <c r="J16" s="69" t="n">
        <f aca="false">MIN(VLOOKUP($I16,$D$3:$G$74,3,0), 'Grilles et calculs individuels'!C17*VLOOKUP($I16,'données complémentaires'!$A$3:$D$73,4,0))*VLOOKUP($I16,$D$3:$G$74, 4,0)</f>
        <v>2481.12440077364</v>
      </c>
      <c r="K16" s="69" t="n">
        <f aca="false">MIN(VLOOKUP($I16,$D$3:$G$74,3,0), 'Grilles et calculs individuels'!D17*VLOOKUP($I16,'données complémentaires'!$A$3:$D$73,4,0))*VLOOKUP($I16,$D$3:$G$74, 4,0)</f>
        <v>2687.07400027746</v>
      </c>
      <c r="L16" s="69" t="n">
        <f aca="false">MIN(VLOOKUP($I16,$D$3:$G$74,3,0), 'Grilles et calculs individuels'!E17*VLOOKUP($I16,'données complémentaires'!$A$3:$D$73,4,0))*VLOOKUP($I16,$D$3:$G$74, 4,0)</f>
        <v>2687.07400027746</v>
      </c>
      <c r="M16" s="69" t="n">
        <f aca="false">MIN(VLOOKUP($I16,$D$3:$G$74,3,0), 'Grilles et calculs individuels'!F17*VLOOKUP($I16,'données complémentaires'!$A$3:$D$73,4,0))*VLOOKUP($I16,$D$3:$G$74, 4,0)</f>
        <v>2687.07400027746</v>
      </c>
      <c r="N16" s="69" t="n">
        <f aca="false">MIN(VLOOKUP($I16,$D$3:$G$74,3,0), 'Grilles et calculs individuels'!G17*VLOOKUP($I16,'données complémentaires'!$A$3:$D$73,4,0))*VLOOKUP($I16,$D$3:$G$74, 4,0)</f>
        <v>2031.39488847974</v>
      </c>
      <c r="O16" s="69" t="n">
        <f aca="false">MIN(VLOOKUP($I16,$D$3:$G$74,3,0), 'Grilles et calculs individuels'!H17*VLOOKUP($I16,'données complémentaires'!$A$3:$D$73,4,0))*VLOOKUP($I16,$D$3:$G$74, 4,0)</f>
        <v>2031.39488847974</v>
      </c>
      <c r="P16" s="69" t="n">
        <f aca="false">MIN(VLOOKUP($I16,$D$3:$G$74,3,0), 'Grilles et calculs individuels'!I17*VLOOKUP($I16,'données complémentaires'!$A$3:$D$73,4,0))*VLOOKUP($I16,$D$3:$G$74, 4,0)</f>
        <v>1985.90791701135</v>
      </c>
      <c r="Q16" s="69" t="n">
        <f aca="false">MIN(VLOOKUP($I16,$D$3:$G$74,3,0), 'Grilles et calculs individuels'!J17*VLOOKUP($I16,'données complémentaires'!$A$3:$D$73,4,0))*VLOOKUP($I16,$D$3:$G$74, 4,0)</f>
        <v>2687.07400027746</v>
      </c>
    </row>
    <row r="17" customFormat="false" ht="12.8" hidden="false" customHeight="false" outlineLevel="0" collapsed="false">
      <c r="C17" s="54" t="n">
        <v>15</v>
      </c>
      <c r="D17" s="54" t="n">
        <v>2026</v>
      </c>
      <c r="E17" s="54" t="n">
        <v>37548</v>
      </c>
      <c r="F17" s="76" t="n">
        <f aca="false">E17/12</f>
        <v>3129</v>
      </c>
      <c r="G17" s="77" t="n">
        <v>1</v>
      </c>
      <c r="H17" s="78"/>
      <c r="I17" s="54" t="n">
        <f aca="false">'Grilles et calculs individuels'!$K$74-C17</f>
        <v>2000</v>
      </c>
      <c r="J17" s="69" t="n">
        <f aca="false">MIN(VLOOKUP($I17,$D$3:$G$74,3,0), 'Grilles et calculs individuels'!C18*VLOOKUP($I17,'données complémentaires'!$A$3:$D$73,4,0))*VLOOKUP($I17,$D$3:$G$74, 4,0)</f>
        <v>2495.43239063212</v>
      </c>
      <c r="K17" s="69" t="n">
        <f aca="false">MIN(VLOOKUP($I17,$D$3:$G$74,3,0), 'Grilles et calculs individuels'!D18*VLOOKUP($I17,'données complémentaires'!$A$3:$D$73,4,0))*VLOOKUP($I17,$D$3:$G$74, 4,0)</f>
        <v>2695.92366572809</v>
      </c>
      <c r="L17" s="69" t="n">
        <f aca="false">MIN(VLOOKUP($I17,$D$3:$G$74,3,0), 'Grilles et calculs individuels'!E18*VLOOKUP($I17,'données complémentaires'!$A$3:$D$73,4,0))*VLOOKUP($I17,$D$3:$G$74, 4,0)</f>
        <v>2695.92366572809</v>
      </c>
      <c r="M17" s="69" t="n">
        <f aca="false">MIN(VLOOKUP($I17,$D$3:$G$74,3,0), 'Grilles et calculs individuels'!F18*VLOOKUP($I17,'données complémentaires'!$A$3:$D$73,4,0))*VLOOKUP($I17,$D$3:$G$74, 4,0)</f>
        <v>2695.92366572809</v>
      </c>
      <c r="N17" s="69" t="n">
        <f aca="false">MIN(VLOOKUP($I17,$D$3:$G$74,3,0), 'Grilles et calculs individuels'!G18*VLOOKUP($I17,'données complémentaires'!$A$3:$D$73,4,0))*VLOOKUP($I17,$D$3:$G$74, 4,0)</f>
        <v>2043.10940688675</v>
      </c>
      <c r="O17" s="69" t="n">
        <f aca="false">MIN(VLOOKUP($I17,$D$3:$G$74,3,0), 'Grilles et calculs individuels'!H18*VLOOKUP($I17,'données complémentaires'!$A$3:$D$73,4,0))*VLOOKUP($I17,$D$3:$G$74, 4,0)</f>
        <v>2043.10940688675</v>
      </c>
      <c r="P17" s="69" t="n">
        <f aca="false">MIN(VLOOKUP($I17,$D$3:$G$74,3,0), 'Grilles et calculs individuels'!I18*VLOOKUP($I17,'données complémentaires'!$A$3:$D$73,4,0))*VLOOKUP($I17,$D$3:$G$74, 4,0)</f>
        <v>1931.29368130705</v>
      </c>
      <c r="Q17" s="69" t="n">
        <f aca="false">MIN(VLOOKUP($I17,$D$3:$G$74,3,0), 'Grilles et calculs individuels'!J18*VLOOKUP($I17,'données complémentaires'!$A$3:$D$73,4,0))*VLOOKUP($I17,$D$3:$G$74, 4,0)</f>
        <v>2695.92366572809</v>
      </c>
    </row>
    <row r="18" customFormat="false" ht="12.8" hidden="false" customHeight="false" outlineLevel="0" collapsed="false">
      <c r="C18" s="54" t="n">
        <v>16</v>
      </c>
      <c r="D18" s="54" t="n">
        <v>2025</v>
      </c>
      <c r="E18" s="54" t="n">
        <v>37548</v>
      </c>
      <c r="F18" s="76" t="n">
        <f aca="false">E18/12</f>
        <v>3129</v>
      </c>
      <c r="G18" s="77" t="n">
        <v>1</v>
      </c>
      <c r="H18" s="78"/>
      <c r="I18" s="54" t="n">
        <f aca="false">'Grilles et calculs individuels'!$K$74-C18</f>
        <v>1999</v>
      </c>
      <c r="J18" s="69" t="n">
        <f aca="false">MIN(VLOOKUP($I18,$D$3:$G$74,3,0), 'Grilles et calculs individuels'!C19*VLOOKUP($I18,'données complémentaires'!$A$3:$D$73,4,0))*VLOOKUP($I18,$D$3:$G$74, 4,0)</f>
        <v>2379.86652384389</v>
      </c>
      <c r="K18" s="69" t="n">
        <f aca="false">MIN(VLOOKUP($I18,$D$3:$G$74,3,0), 'Grilles et calculs individuels'!D19*VLOOKUP($I18,'données complémentaires'!$A$3:$D$73,4,0))*VLOOKUP($I18,$D$3:$G$74, 4,0)</f>
        <v>2664.7722335458</v>
      </c>
      <c r="L18" s="69" t="n">
        <f aca="false">MIN(VLOOKUP($I18,$D$3:$G$74,3,0), 'Grilles et calculs individuels'!E19*VLOOKUP($I18,'données complémentaires'!$A$3:$D$73,4,0))*VLOOKUP($I18,$D$3:$G$74, 4,0)</f>
        <v>2664.7722335458</v>
      </c>
      <c r="M18" s="69" t="n">
        <f aca="false">MIN(VLOOKUP($I18,$D$3:$G$74,3,0), 'Grilles et calculs individuels'!F19*VLOOKUP($I18,'données complémentaires'!$A$3:$D$73,4,0))*VLOOKUP($I18,$D$3:$G$74, 4,0)</f>
        <v>2664.7722335458</v>
      </c>
      <c r="N18" s="69" t="n">
        <f aca="false">MIN(VLOOKUP($I18,$D$3:$G$74,3,0), 'Grilles et calculs individuels'!G19*VLOOKUP($I18,'données complémentaires'!$A$3:$D$73,4,0))*VLOOKUP($I18,$D$3:$G$74, 4,0)</f>
        <v>2044.24404016306</v>
      </c>
      <c r="O18" s="69" t="n">
        <f aca="false">MIN(VLOOKUP($I18,$D$3:$G$74,3,0), 'Grilles et calculs individuels'!H19*VLOOKUP($I18,'données complémentaires'!$A$3:$D$73,4,0))*VLOOKUP($I18,$D$3:$G$74, 4,0)</f>
        <v>2044.24404016306</v>
      </c>
      <c r="P18" s="69" t="n">
        <f aca="false">MIN(VLOOKUP($I18,$D$3:$G$74,3,0), 'Grilles et calculs individuels'!I19*VLOOKUP($I18,'données complémentaires'!$A$3:$D$73,4,0))*VLOOKUP($I18,$D$3:$G$74, 4,0)</f>
        <v>1932.36621813241</v>
      </c>
      <c r="Q18" s="69" t="n">
        <f aca="false">MIN(VLOOKUP($I18,$D$3:$G$74,3,0), 'Grilles et calculs individuels'!J19*VLOOKUP($I18,'données complémentaires'!$A$3:$D$73,4,0))*VLOOKUP($I18,$D$3:$G$74, 4,0)</f>
        <v>2664.7722335458</v>
      </c>
    </row>
    <row r="19" customFormat="false" ht="12.8" hidden="false" customHeight="false" outlineLevel="0" collapsed="false">
      <c r="C19" s="54" t="n">
        <v>17</v>
      </c>
      <c r="D19" s="54" t="n">
        <v>2024</v>
      </c>
      <c r="E19" s="54" t="n">
        <v>37548</v>
      </c>
      <c r="F19" s="76" t="n">
        <f aca="false">E19/12</f>
        <v>3129</v>
      </c>
      <c r="G19" s="77" t="n">
        <v>1</v>
      </c>
      <c r="H19" s="78"/>
      <c r="I19" s="54" t="n">
        <f aca="false">'Grilles et calculs individuels'!$K$74-C19</f>
        <v>1998</v>
      </c>
      <c r="J19" s="69" t="n">
        <f aca="false">MIN(VLOOKUP($I19,$D$3:$G$74,3,0), 'Grilles et calculs individuels'!C20*VLOOKUP($I19,'données complémentaires'!$A$3:$D$73,4,0))*VLOOKUP($I19,$D$3:$G$74, 4,0)</f>
        <v>2379.36761943808</v>
      </c>
      <c r="K19" s="69" t="n">
        <f aca="false">MIN(VLOOKUP($I19,$D$3:$G$74,3,0), 'Grilles et calculs individuels'!D20*VLOOKUP($I19,'données complémentaires'!$A$3:$D$73,4,0))*VLOOKUP($I19,$D$3:$G$74, 4,0)</f>
        <v>2624.86412981338</v>
      </c>
      <c r="L19" s="69" t="n">
        <f aca="false">MIN(VLOOKUP($I19,$D$3:$G$74,3,0), 'Grilles et calculs individuels'!E20*VLOOKUP($I19,'données complémentaires'!$A$3:$D$73,4,0))*VLOOKUP($I19,$D$3:$G$74, 4,0)</f>
        <v>2624.86412981338</v>
      </c>
      <c r="M19" s="69" t="n">
        <f aca="false">MIN(VLOOKUP($I19,$D$3:$G$74,3,0), 'Grilles et calculs individuels'!F20*VLOOKUP($I19,'données complémentaires'!$A$3:$D$73,4,0))*VLOOKUP($I19,$D$3:$G$74, 4,0)</f>
        <v>2624.86412981338</v>
      </c>
      <c r="N19" s="69" t="n">
        <f aca="false">MIN(VLOOKUP($I19,$D$3:$G$74,3,0), 'Grilles et calculs individuels'!G20*VLOOKUP($I19,'données complémentaires'!$A$3:$D$73,4,0))*VLOOKUP($I19,$D$3:$G$74, 4,0)</f>
        <v>1998.05040059967</v>
      </c>
      <c r="O19" s="69" t="n">
        <f aca="false">MIN(VLOOKUP($I19,$D$3:$G$74,3,0), 'Grilles et calculs individuels'!H20*VLOOKUP($I19,'données complémentaires'!$A$3:$D$73,4,0))*VLOOKUP($I19,$D$3:$G$74, 4,0)</f>
        <v>1998.05040059967</v>
      </c>
      <c r="P19" s="69" t="n">
        <f aca="false">MIN(VLOOKUP($I19,$D$3:$G$74,3,0), 'Grilles et calculs individuels'!I20*VLOOKUP($I19,'données complémentaires'!$A$3:$D$73,4,0))*VLOOKUP($I19,$D$3:$G$74, 4,0)</f>
        <v>1931.9611256576</v>
      </c>
      <c r="Q19" s="69" t="n">
        <f aca="false">MIN(VLOOKUP($I19,$D$3:$G$74,3,0), 'Grilles et calculs individuels'!J20*VLOOKUP($I19,'données complémentaires'!$A$3:$D$73,4,0))*VLOOKUP($I19,$D$3:$G$74, 4,0)</f>
        <v>2624.86412981338</v>
      </c>
    </row>
    <row r="20" customFormat="false" ht="12.8" hidden="false" customHeight="false" outlineLevel="0" collapsed="false">
      <c r="C20" s="54" t="n">
        <v>18</v>
      </c>
      <c r="D20" s="54" t="n">
        <v>2023</v>
      </c>
      <c r="E20" s="54" t="n">
        <v>37548</v>
      </c>
      <c r="F20" s="76" t="n">
        <f aca="false">E20/12</f>
        <v>3129</v>
      </c>
      <c r="G20" s="77" t="n">
        <v>1</v>
      </c>
      <c r="H20" s="78"/>
      <c r="I20" s="54" t="n">
        <f aca="false">'Grilles et calculs individuels'!$K$74-C20</f>
        <v>1997</v>
      </c>
      <c r="J20" s="69" t="n">
        <f aca="false">MIN(VLOOKUP($I20,$D$3:$G$74,3,0), 'Grilles et calculs individuels'!C21*VLOOKUP($I20,'données complémentaires'!$A$3:$D$73,4,0))*VLOOKUP($I20,$D$3:$G$74, 4,0)</f>
        <v>2382.33711543427</v>
      </c>
      <c r="K20" s="69" t="n">
        <f aca="false">MIN(VLOOKUP($I20,$D$3:$G$74,3,0), 'Grilles et calculs individuels'!D21*VLOOKUP($I20,'données complémentaires'!$A$3:$D$73,4,0))*VLOOKUP($I20,$D$3:$G$74, 4,0)</f>
        <v>2585.21823839063</v>
      </c>
      <c r="L20" s="69" t="n">
        <f aca="false">MIN(VLOOKUP($I20,$D$3:$G$74,3,0), 'Grilles et calculs individuels'!E21*VLOOKUP($I20,'données complémentaires'!$A$3:$D$73,4,0))*VLOOKUP($I20,$D$3:$G$74, 4,0)</f>
        <v>2585.21823839063</v>
      </c>
      <c r="M20" s="69" t="n">
        <f aca="false">MIN(VLOOKUP($I20,$D$3:$G$74,3,0), 'Grilles et calculs individuels'!F21*VLOOKUP($I20,'données complémentaires'!$A$3:$D$73,4,0))*VLOOKUP($I20,$D$3:$G$74, 4,0)</f>
        <v>2585.21823839063</v>
      </c>
      <c r="N20" s="69" t="n">
        <f aca="false">MIN(VLOOKUP($I20,$D$3:$G$74,3,0), 'Grilles et calculs individuels'!G21*VLOOKUP($I20,'données complémentaires'!$A$3:$D$73,4,0))*VLOOKUP($I20,$D$3:$G$74, 4,0)</f>
        <v>2000.54400546186</v>
      </c>
      <c r="O20" s="69" t="n">
        <f aca="false">MIN(VLOOKUP($I20,$D$3:$G$74,3,0), 'Grilles et calculs individuels'!H21*VLOOKUP($I20,'données complémentaires'!$A$3:$D$73,4,0))*VLOOKUP($I20,$D$3:$G$74, 4,0)</f>
        <v>2000.54400546186</v>
      </c>
      <c r="P20" s="69" t="n">
        <f aca="false">MIN(VLOOKUP($I20,$D$3:$G$74,3,0), 'Grilles et calculs individuels'!I21*VLOOKUP($I20,'données complémentaires'!$A$3:$D$73,4,0))*VLOOKUP($I20,$D$3:$G$74, 4,0)</f>
        <v>1934.37224984898</v>
      </c>
      <c r="Q20" s="69" t="n">
        <f aca="false">MIN(VLOOKUP($I20,$D$3:$G$74,3,0), 'Grilles et calculs individuels'!J21*VLOOKUP($I20,'données complémentaires'!$A$3:$D$73,4,0))*VLOOKUP($I20,$D$3:$G$74, 4,0)</f>
        <v>2585.21823839063</v>
      </c>
    </row>
    <row r="21" customFormat="false" ht="12.8" hidden="false" customHeight="false" outlineLevel="0" collapsed="false">
      <c r="C21" s="54" t="n">
        <v>19</v>
      </c>
      <c r="D21" s="54" t="n">
        <v>2022</v>
      </c>
      <c r="E21" s="54" t="n">
        <v>37548</v>
      </c>
      <c r="F21" s="76" t="n">
        <f aca="false">E21/12</f>
        <v>3129</v>
      </c>
      <c r="G21" s="77" t="n">
        <v>1</v>
      </c>
      <c r="I21" s="54" t="n">
        <f aca="false">'Grilles et calculs individuels'!$K$74-C21</f>
        <v>1996</v>
      </c>
      <c r="J21" s="69" t="n">
        <f aca="false">MIN(VLOOKUP($I21,$D$3:$G$74,3,0), 'Grilles et calculs individuels'!C22*VLOOKUP($I21,'données complémentaires'!$A$3:$D$73,4,0))*VLOOKUP($I21,$D$3:$G$74, 4,0)</f>
        <v>2394.42229895367</v>
      </c>
      <c r="K21" s="69" t="n">
        <f aca="false">MIN(VLOOKUP($I21,$D$3:$G$74,3,0), 'Grilles et calculs individuels'!D22*VLOOKUP($I21,'données complémentaires'!$A$3:$D$73,4,0))*VLOOKUP($I21,$D$3:$G$74, 4,0)</f>
        <v>2557.952</v>
      </c>
      <c r="L21" s="69" t="n">
        <f aca="false">MIN(VLOOKUP($I21,$D$3:$G$74,3,0), 'Grilles et calculs individuels'!E22*VLOOKUP($I21,'données complémentaires'!$A$3:$D$73,4,0))*VLOOKUP($I21,$D$3:$G$74, 4,0)</f>
        <v>2557.952</v>
      </c>
      <c r="M21" s="69" t="n">
        <f aca="false">MIN(VLOOKUP($I21,$D$3:$G$74,3,0), 'Grilles et calculs individuels'!F22*VLOOKUP($I21,'données complémentaires'!$A$3:$D$73,4,0))*VLOOKUP($I21,$D$3:$G$74, 4,0)</f>
        <v>2557.952</v>
      </c>
      <c r="N21" s="69" t="n">
        <f aca="false">MIN(VLOOKUP($I21,$D$3:$G$74,3,0), 'Grilles et calculs individuels'!G22*VLOOKUP($I21,'données complémentaires'!$A$3:$D$73,4,0))*VLOOKUP($I21,$D$3:$G$74, 4,0)</f>
        <v>2010.69241866837</v>
      </c>
      <c r="O21" s="69" t="n">
        <f aca="false">MIN(VLOOKUP($I21,$D$3:$G$74,3,0), 'Grilles et calculs individuels'!H22*VLOOKUP($I21,'données complémentaires'!$A$3:$D$73,4,0))*VLOOKUP($I21,$D$3:$G$74, 4,0)</f>
        <v>2010.69241866837</v>
      </c>
      <c r="P21" s="69" t="n">
        <f aca="false">MIN(VLOOKUP($I21,$D$3:$G$74,3,0), 'Grilles et calculs individuels'!I22*VLOOKUP($I21,'données complémentaires'!$A$3:$D$73,4,0))*VLOOKUP($I21,$D$3:$G$74, 4,0)</f>
        <v>1898.14137741676</v>
      </c>
      <c r="Q21" s="69" t="n">
        <f aca="false">MIN(VLOOKUP($I21,$D$3:$G$74,3,0), 'Grilles et calculs individuels'!J22*VLOOKUP($I21,'données complémentaires'!$A$3:$D$73,4,0))*VLOOKUP($I21,$D$3:$G$74, 4,0)</f>
        <v>2557.952</v>
      </c>
    </row>
    <row r="22" customFormat="false" ht="12.8" hidden="false" customHeight="false" outlineLevel="0" collapsed="false">
      <c r="C22" s="54" t="n">
        <v>20</v>
      </c>
      <c r="D22" s="54" t="n">
        <v>2021</v>
      </c>
      <c r="E22" s="54" t="n">
        <v>37548</v>
      </c>
      <c r="F22" s="76" t="n">
        <f aca="false">E22/12</f>
        <v>3129</v>
      </c>
      <c r="G22" s="77" t="n">
        <v>1</v>
      </c>
      <c r="I22" s="54" t="n">
        <f aca="false">'Grilles et calculs individuels'!$K$74-C22</f>
        <v>1995</v>
      </c>
      <c r="J22" s="69" t="n">
        <f aca="false">MIN(VLOOKUP($I22,$D$3:$G$74,3,0), 'Grilles et calculs individuels'!C23*VLOOKUP($I22,'données complémentaires'!$A$3:$D$73,4,0))*VLOOKUP($I22,$D$3:$G$74, 4,0)</f>
        <v>2308.2169466318</v>
      </c>
      <c r="K22" s="69" t="n">
        <f aca="false">MIN(VLOOKUP($I22,$D$3:$G$74,3,0), 'Grilles et calculs individuels'!D23*VLOOKUP($I22,'données complémentaires'!$A$3:$D$73,4,0))*VLOOKUP($I22,$D$3:$G$74, 4,0)</f>
        <v>2537.661</v>
      </c>
      <c r="L22" s="69" t="n">
        <f aca="false">MIN(VLOOKUP($I22,$D$3:$G$74,3,0), 'Grilles et calculs individuels'!E23*VLOOKUP($I22,'données complémentaires'!$A$3:$D$73,4,0))*VLOOKUP($I22,$D$3:$G$74, 4,0)</f>
        <v>2537.661</v>
      </c>
      <c r="M22" s="69" t="n">
        <f aca="false">MIN(VLOOKUP($I22,$D$3:$G$74,3,0), 'Grilles et calculs individuels'!F23*VLOOKUP($I22,'données complémentaires'!$A$3:$D$73,4,0))*VLOOKUP($I22,$D$3:$G$74, 4,0)</f>
        <v>2537.661</v>
      </c>
      <c r="N22" s="69" t="n">
        <f aca="false">MIN(VLOOKUP($I22,$D$3:$G$74,3,0), 'Grilles et calculs individuels'!G23*VLOOKUP($I22,'données complémentaires'!$A$3:$D$73,4,0))*VLOOKUP($I22,$D$3:$G$74, 4,0)</f>
        <v>2038.48733197405</v>
      </c>
      <c r="O22" s="69" t="n">
        <f aca="false">MIN(VLOOKUP($I22,$D$3:$G$74,3,0), 'Grilles et calculs individuels'!H23*VLOOKUP($I22,'données complémentaires'!$A$3:$D$73,4,0))*VLOOKUP($I22,$D$3:$G$74, 4,0)</f>
        <v>2038.48733197405</v>
      </c>
      <c r="P22" s="69" t="n">
        <f aca="false">MIN(VLOOKUP($I22,$D$3:$G$74,3,0), 'Grilles et calculs individuels'!I23*VLOOKUP($I22,'données complémentaires'!$A$3:$D$73,4,0))*VLOOKUP($I22,$D$3:$G$74, 4,0)</f>
        <v>1924.38043543348</v>
      </c>
      <c r="Q22" s="69" t="n">
        <f aca="false">MIN(VLOOKUP($I22,$D$3:$G$74,3,0), 'Grilles et calculs individuels'!J23*VLOOKUP($I22,'données complémentaires'!$A$3:$D$73,4,0))*VLOOKUP($I22,$D$3:$G$74, 4,0)</f>
        <v>2537.661</v>
      </c>
    </row>
    <row r="23" customFormat="false" ht="12.8" hidden="false" customHeight="false" outlineLevel="0" collapsed="false">
      <c r="C23" s="54" t="n">
        <v>21</v>
      </c>
      <c r="D23" s="54" t="n">
        <v>2020</v>
      </c>
      <c r="E23" s="54" t="n">
        <v>37548</v>
      </c>
      <c r="F23" s="76" t="n">
        <f aca="false">E23/12</f>
        <v>3129</v>
      </c>
      <c r="G23" s="77" t="n">
        <v>1</v>
      </c>
      <c r="I23" s="54" t="n">
        <f aca="false">'Grilles et calculs individuels'!$K$74-C23</f>
        <v>1994</v>
      </c>
      <c r="J23" s="69" t="n">
        <f aca="false">MIN(VLOOKUP($I23,$D$3:$G$74,3,0), 'Grilles et calculs individuels'!C24*VLOOKUP($I23,'données complémentaires'!$A$3:$D$73,4,0))*VLOOKUP($I23,$D$3:$G$74, 4,0)</f>
        <v>2270.92712211146</v>
      </c>
      <c r="K23" s="69" t="n">
        <f aca="false">MIN(VLOOKUP($I23,$D$3:$G$74,3,0), 'Grilles et calculs individuels'!D24*VLOOKUP($I23,'données complémentaires'!$A$3:$D$73,4,0))*VLOOKUP($I23,$D$3:$G$74, 4,0)</f>
        <v>2518.775</v>
      </c>
      <c r="L23" s="69" t="n">
        <f aca="false">MIN(VLOOKUP($I23,$D$3:$G$74,3,0), 'Grilles et calculs individuels'!E24*VLOOKUP($I23,'données complémentaires'!$A$3:$D$73,4,0))*VLOOKUP($I23,$D$3:$G$74, 4,0)</f>
        <v>2518.775</v>
      </c>
      <c r="M23" s="69" t="n">
        <f aca="false">MIN(VLOOKUP($I23,$D$3:$G$74,3,0), 'Grilles et calculs individuels'!F24*VLOOKUP($I23,'données complémentaires'!$A$3:$D$73,4,0))*VLOOKUP($I23,$D$3:$G$74, 4,0)</f>
        <v>2518.775</v>
      </c>
      <c r="N23" s="69" t="n">
        <f aca="false">MIN(VLOOKUP($I23,$D$3:$G$74,3,0), 'Grilles et calculs individuels'!G24*VLOOKUP($I23,'données complémentaires'!$A$3:$D$73,4,0))*VLOOKUP($I23,$D$3:$G$74, 4,0)</f>
        <v>1939.21755155417</v>
      </c>
      <c r="O23" s="69" t="n">
        <f aca="false">MIN(VLOOKUP($I23,$D$3:$G$74,3,0), 'Grilles et calculs individuels'!H24*VLOOKUP($I23,'données complémentaires'!$A$3:$D$73,4,0))*VLOOKUP($I23,$D$3:$G$74, 4,0)</f>
        <v>1939.21755155417</v>
      </c>
      <c r="P23" s="69" t="n">
        <f aca="false">MIN(VLOOKUP($I23,$D$3:$G$74,3,0), 'Grilles et calculs individuels'!I24*VLOOKUP($I23,'données complémentaires'!$A$3:$D$73,4,0))*VLOOKUP($I23,$D$3:$G$74, 4,0)</f>
        <v>1893.29158615854</v>
      </c>
      <c r="Q23" s="69" t="n">
        <f aca="false">MIN(VLOOKUP($I23,$D$3:$G$74,3,0), 'Grilles et calculs individuels'!J24*VLOOKUP($I23,'données complémentaires'!$A$3:$D$73,4,0))*VLOOKUP($I23,$D$3:$G$74, 4,0)</f>
        <v>2518.775</v>
      </c>
    </row>
    <row r="24" customFormat="false" ht="12.8" hidden="false" customHeight="false" outlineLevel="0" collapsed="false">
      <c r="C24" s="54" t="n">
        <v>22</v>
      </c>
      <c r="D24" s="54" t="n">
        <v>2019</v>
      </c>
      <c r="E24" s="54" t="n">
        <v>37548</v>
      </c>
      <c r="F24" s="76" t="n">
        <f aca="false">E24/12</f>
        <v>3129</v>
      </c>
      <c r="G24" s="77" t="n">
        <v>1</v>
      </c>
      <c r="I24" s="54" t="n">
        <f aca="false">'Grilles et calculs individuels'!$K$74-C24</f>
        <v>1993</v>
      </c>
      <c r="J24" s="69" t="n">
        <f aca="false">MIN(VLOOKUP($I24,$D$3:$G$74,3,0), 'Grilles et calculs individuels'!C25*VLOOKUP($I24,'données complémentaires'!$A$3:$D$73,4,0))*VLOOKUP($I24,$D$3:$G$74, 4,0)</f>
        <v>2288.56937139525</v>
      </c>
      <c r="K24" s="69" t="n">
        <f aca="false">MIN(VLOOKUP($I24,$D$3:$G$74,3,0), 'Grilles et calculs individuels'!D25*VLOOKUP($I24,'données complémentaires'!$A$3:$D$73,4,0))*VLOOKUP($I24,$D$3:$G$74, 4,0)</f>
        <v>2513.28</v>
      </c>
      <c r="L24" s="69" t="n">
        <f aca="false">MIN(VLOOKUP($I24,$D$3:$G$74,3,0), 'Grilles et calculs individuels'!E25*VLOOKUP($I24,'données complémentaires'!$A$3:$D$73,4,0))*VLOOKUP($I24,$D$3:$G$74, 4,0)</f>
        <v>2513.28</v>
      </c>
      <c r="M24" s="69" t="n">
        <f aca="false">MIN(VLOOKUP($I24,$D$3:$G$74,3,0), 'Grilles et calculs individuels'!F25*VLOOKUP($I24,'données complémentaires'!$A$3:$D$73,4,0))*VLOOKUP($I24,$D$3:$G$74, 4,0)</f>
        <v>2513.28</v>
      </c>
      <c r="N24" s="69" t="n">
        <f aca="false">MIN(VLOOKUP($I24,$D$3:$G$74,3,0), 'Grilles et calculs individuels'!G25*VLOOKUP($I24,'données complémentaires'!$A$3:$D$73,4,0))*VLOOKUP($I24,$D$3:$G$74, 4,0)</f>
        <v>1954.282834419</v>
      </c>
      <c r="O24" s="69" t="n">
        <f aca="false">MIN(VLOOKUP($I24,$D$3:$G$74,3,0), 'Grilles et calculs individuels'!H25*VLOOKUP($I24,'données complémentaires'!$A$3:$D$73,4,0))*VLOOKUP($I24,$D$3:$G$74, 4,0)</f>
        <v>1954.282834419</v>
      </c>
      <c r="P24" s="69" t="n">
        <f aca="false">MIN(VLOOKUP($I24,$D$3:$G$74,3,0), 'Grilles et calculs individuels'!I25*VLOOKUP($I24,'données complémentaires'!$A$3:$D$73,4,0))*VLOOKUP($I24,$D$3:$G$74, 4,0)</f>
        <v>1825.70852628074</v>
      </c>
      <c r="Q24" s="69" t="n">
        <f aca="false">MIN(VLOOKUP($I24,$D$3:$G$74,3,0), 'Grilles et calculs individuels'!J25*VLOOKUP($I24,'données complémentaires'!$A$3:$D$73,4,0))*VLOOKUP($I24,$D$3:$G$74, 4,0)</f>
        <v>2513.28</v>
      </c>
    </row>
    <row r="25" customFormat="false" ht="12.8" hidden="false" customHeight="false" outlineLevel="0" collapsed="false">
      <c r="C25" s="54" t="n">
        <v>23</v>
      </c>
      <c r="D25" s="54" t="n">
        <v>2018</v>
      </c>
      <c r="E25" s="54" t="n">
        <v>37548</v>
      </c>
      <c r="F25" s="76" t="n">
        <f aca="false">E25/12</f>
        <v>3129</v>
      </c>
      <c r="G25" s="77" t="n">
        <v>1</v>
      </c>
      <c r="I25" s="54" t="n">
        <f aca="false">'Grilles et calculs individuels'!$K$74-C25</f>
        <v>1992</v>
      </c>
      <c r="J25" s="69" t="n">
        <f aca="false">MIN(VLOOKUP($I25,$D$3:$G$74,3,0), 'Grilles et calculs individuels'!C26*VLOOKUP($I25,'données complémentaires'!$A$3:$D$73,4,0))*VLOOKUP($I25,$D$3:$G$74, 4,0)</f>
        <v>2227.83220525417</v>
      </c>
      <c r="K25" s="69" t="n">
        <f aca="false">MIN(VLOOKUP($I25,$D$3:$G$74,3,0), 'Grilles et calculs individuels'!D26*VLOOKUP($I25,'données complémentaires'!$A$3:$D$73,4,0))*VLOOKUP($I25,$D$3:$G$74, 4,0)</f>
        <v>2416.92</v>
      </c>
      <c r="L25" s="69" t="n">
        <f aca="false">MIN(VLOOKUP($I25,$D$3:$G$74,3,0), 'Grilles et calculs individuels'!E26*VLOOKUP($I25,'données complémentaires'!$A$3:$D$73,4,0))*VLOOKUP($I25,$D$3:$G$74, 4,0)</f>
        <v>2416.92</v>
      </c>
      <c r="M25" s="69" t="n">
        <f aca="false">MIN(VLOOKUP($I25,$D$3:$G$74,3,0), 'Grilles et calculs individuels'!F26*VLOOKUP($I25,'données complémentaires'!$A$3:$D$73,4,0))*VLOOKUP($I25,$D$3:$G$74, 4,0)</f>
        <v>2416.92</v>
      </c>
      <c r="N25" s="69" t="n">
        <f aca="false">MIN(VLOOKUP($I25,$D$3:$G$74,3,0), 'Grilles et calculs individuels'!G26*VLOOKUP($I25,'données complémentaires'!$A$3:$D$73,4,0))*VLOOKUP($I25,$D$3:$G$74, 4,0)</f>
        <v>1902.41741898333</v>
      </c>
      <c r="O25" s="69" t="n">
        <f aca="false">MIN(VLOOKUP($I25,$D$3:$G$74,3,0), 'Grilles et calculs individuels'!H26*VLOOKUP($I25,'données complémentaires'!$A$3:$D$73,4,0))*VLOOKUP($I25,$D$3:$G$74, 4,0)</f>
        <v>1902.41741898333</v>
      </c>
      <c r="P25" s="69" t="n">
        <f aca="false">MIN(VLOOKUP($I25,$D$3:$G$74,3,0), 'Grilles et calculs individuels'!I26*VLOOKUP($I25,'données complémentaires'!$A$3:$D$73,4,0))*VLOOKUP($I25,$D$3:$G$74, 4,0)</f>
        <v>1777.25539067913</v>
      </c>
      <c r="Q25" s="69" t="n">
        <f aca="false">MIN(VLOOKUP($I25,$D$3:$G$74,3,0), 'Grilles et calculs individuels'!J26*VLOOKUP($I25,'données complémentaires'!$A$3:$D$73,4,0))*VLOOKUP($I25,$D$3:$G$74, 4,0)</f>
        <v>2416.92</v>
      </c>
    </row>
    <row r="26" customFormat="false" ht="12.8" hidden="false" customHeight="false" outlineLevel="0" collapsed="false">
      <c r="C26" s="54" t="n">
        <v>24</v>
      </c>
      <c r="D26" s="54" t="n">
        <v>2017</v>
      </c>
      <c r="E26" s="54" t="n">
        <v>37548</v>
      </c>
      <c r="F26" s="76" t="n">
        <f aca="false">E26/12</f>
        <v>3129</v>
      </c>
      <c r="G26" s="77" t="n">
        <v>1</v>
      </c>
      <c r="I26" s="54" t="n">
        <f aca="false">'Grilles et calculs individuels'!$K$74-C26</f>
        <v>1991</v>
      </c>
      <c r="J26" s="69" t="n">
        <f aca="false">MIN(VLOOKUP($I26,$D$3:$G$74,3,0), 'Grilles et calculs individuels'!C27*VLOOKUP($I26,'données complémentaires'!$A$3:$D$73,4,0))*VLOOKUP($I26,$D$3:$G$74, 4,0)</f>
        <v>2138.61490821651</v>
      </c>
      <c r="K26" s="69" t="n">
        <f aca="false">MIN(VLOOKUP($I26,$D$3:$G$74,3,0), 'Grilles et calculs individuels'!D27*VLOOKUP($I26,'données complémentaires'!$A$3:$D$73,4,0))*VLOOKUP($I26,$D$3:$G$74, 4,0)</f>
        <v>2384.862</v>
      </c>
      <c r="L26" s="69" t="n">
        <f aca="false">MIN(VLOOKUP($I26,$D$3:$G$74,3,0), 'Grilles et calculs individuels'!E27*VLOOKUP($I26,'données complémentaires'!$A$3:$D$73,4,0))*VLOOKUP($I26,$D$3:$G$74, 4,0)</f>
        <v>2384.862</v>
      </c>
      <c r="M26" s="69" t="n">
        <f aca="false">MIN(VLOOKUP($I26,$D$3:$G$74,3,0), 'Grilles et calculs individuels'!F27*VLOOKUP($I26,'données complémentaires'!$A$3:$D$73,4,0))*VLOOKUP($I26,$D$3:$G$74, 4,0)</f>
        <v>2384.862</v>
      </c>
      <c r="N26" s="69" t="n">
        <f aca="false">MIN(VLOOKUP($I26,$D$3:$G$74,3,0), 'Grilles et calculs individuels'!G27*VLOOKUP($I26,'données complémentaires'!$A$3:$D$73,4,0))*VLOOKUP($I26,$D$3:$G$74, 4,0)</f>
        <v>1912.17627036137</v>
      </c>
      <c r="O26" s="69" t="n">
        <f aca="false">MIN(VLOOKUP($I26,$D$3:$G$74,3,0), 'Grilles et calculs individuels'!H27*VLOOKUP($I26,'données complémentaires'!$A$3:$D$73,4,0))*VLOOKUP($I26,$D$3:$G$74, 4,0)</f>
        <v>1912.17627036137</v>
      </c>
      <c r="P26" s="69" t="n">
        <f aca="false">MIN(VLOOKUP($I26,$D$3:$G$74,3,0), 'Grilles et calculs individuels'!I27*VLOOKUP($I26,'données complémentaires'!$A$3:$D$73,4,0))*VLOOKUP($I26,$D$3:$G$74, 4,0)</f>
        <v>1786.37219703582</v>
      </c>
      <c r="Q26" s="69" t="n">
        <f aca="false">MIN(VLOOKUP($I26,$D$3:$G$74,3,0), 'Grilles et calculs individuels'!J27*VLOOKUP($I26,'données complémentaires'!$A$3:$D$73,4,0))*VLOOKUP($I26,$D$3:$G$74, 4,0)</f>
        <v>2384.862</v>
      </c>
    </row>
    <row r="27" customFormat="false" ht="12.8" hidden="false" customHeight="false" outlineLevel="0" collapsed="false">
      <c r="C27" s="54" t="n">
        <v>25</v>
      </c>
      <c r="D27" s="54" t="n">
        <v>2016</v>
      </c>
      <c r="E27" s="54" t="n">
        <v>37548</v>
      </c>
      <c r="F27" s="76" t="n">
        <f aca="false">E27/12</f>
        <v>3129</v>
      </c>
      <c r="G27" s="77" t="n">
        <v>1</v>
      </c>
      <c r="I27" s="54" t="n">
        <f aca="false">'Grilles et calculs individuels'!$K$74-C27</f>
        <v>1990</v>
      </c>
      <c r="J27" s="69" t="n">
        <f aca="false">MIN(VLOOKUP($I27,$D$3:$G$74,3,0), 'Grilles et calculs individuels'!C28*VLOOKUP($I27,'données complémentaires'!$A$3:$D$73,4,0))*VLOOKUP($I27,$D$3:$G$74, 4,0)</f>
        <v>2133.69120812044</v>
      </c>
      <c r="K27" s="69" t="n">
        <f aca="false">MIN(VLOOKUP($I27,$D$3:$G$74,3,0), 'Grilles et calculs individuels'!D28*VLOOKUP($I27,'données complémentaires'!$A$3:$D$73,4,0))*VLOOKUP($I27,$D$3:$G$74, 4,0)</f>
        <v>2304.36</v>
      </c>
      <c r="L27" s="69" t="n">
        <f aca="false">MIN(VLOOKUP($I27,$D$3:$G$74,3,0), 'Grilles et calculs individuels'!E28*VLOOKUP($I27,'données complémentaires'!$A$3:$D$73,4,0))*VLOOKUP($I27,$D$3:$G$74, 4,0)</f>
        <v>2304.36</v>
      </c>
      <c r="M27" s="69" t="n">
        <f aca="false">MIN(VLOOKUP($I27,$D$3:$G$74,3,0), 'Grilles et calculs individuels'!F28*VLOOKUP($I27,'données complémentaires'!$A$3:$D$73,4,0))*VLOOKUP($I27,$D$3:$G$74, 4,0)</f>
        <v>2304.36</v>
      </c>
      <c r="N27" s="69" t="n">
        <f aca="false">MIN(VLOOKUP($I27,$D$3:$G$74,3,0), 'Grilles et calculs individuels'!G28*VLOOKUP($I27,'données complémentaires'!$A$3:$D$73,4,0))*VLOOKUP($I27,$D$3:$G$74, 4,0)</f>
        <v>1862.59260264022</v>
      </c>
      <c r="O27" s="69" t="n">
        <f aca="false">MIN(VLOOKUP($I27,$D$3:$G$74,3,0), 'Grilles et calculs individuels'!H28*VLOOKUP($I27,'données complémentaires'!$A$3:$D$73,4,0))*VLOOKUP($I27,$D$3:$G$74, 4,0)</f>
        <v>1862.59260264022</v>
      </c>
      <c r="P27" s="69" t="n">
        <f aca="false">MIN(VLOOKUP($I27,$D$3:$G$74,3,0), 'Grilles et calculs individuels'!I28*VLOOKUP($I27,'données complémentaires'!$A$3:$D$73,4,0))*VLOOKUP($I27,$D$3:$G$74, 4,0)</f>
        <v>1711.97744730984</v>
      </c>
      <c r="Q27" s="69" t="n">
        <f aca="false">MIN(VLOOKUP($I27,$D$3:$G$74,3,0), 'Grilles et calculs individuels'!J28*VLOOKUP($I27,'données complémentaires'!$A$3:$D$73,4,0))*VLOOKUP($I27,$D$3:$G$74, 4,0)</f>
        <v>2304.36</v>
      </c>
    </row>
    <row r="28" customFormat="false" ht="12.8" hidden="false" customHeight="false" outlineLevel="0" collapsed="false">
      <c r="C28" s="54" t="n">
        <v>26</v>
      </c>
      <c r="D28" s="54" t="n">
        <v>2015</v>
      </c>
      <c r="E28" s="54" t="n">
        <v>37548</v>
      </c>
      <c r="F28" s="76" t="n">
        <f aca="false">E28/12</f>
        <v>3129</v>
      </c>
      <c r="G28" s="77" t="n">
        <v>1</v>
      </c>
      <c r="I28" s="54" t="n">
        <f aca="false">'Grilles et calculs individuels'!$K$74-C28</f>
        <v>1989</v>
      </c>
      <c r="J28" s="69" t="n">
        <f aca="false">MIN(VLOOKUP($I28,$D$3:$G$74,3,0), 'Grilles et calculs individuels'!C29*VLOOKUP($I28,'données complémentaires'!$A$3:$D$73,4,0))*VLOOKUP($I28,$D$3:$G$74, 4,0)</f>
        <v>2140.71776148666</v>
      </c>
      <c r="K28" s="69" t="n">
        <f aca="false">MIN(VLOOKUP($I28,$D$3:$G$74,3,0), 'Grilles et calculs individuels'!D29*VLOOKUP($I28,'données complémentaires'!$A$3:$D$73,4,0))*VLOOKUP($I28,$D$3:$G$74, 4,0)</f>
        <v>2265.416</v>
      </c>
      <c r="L28" s="69" t="n">
        <f aca="false">MIN(VLOOKUP($I28,$D$3:$G$74,3,0), 'Grilles et calculs individuels'!E29*VLOOKUP($I28,'données complémentaires'!$A$3:$D$73,4,0))*VLOOKUP($I28,$D$3:$G$74, 4,0)</f>
        <v>2265.416</v>
      </c>
      <c r="M28" s="69" t="n">
        <f aca="false">MIN(VLOOKUP($I28,$D$3:$G$74,3,0), 'Grilles et calculs individuels'!F29*VLOOKUP($I28,'données complémentaires'!$A$3:$D$73,4,0))*VLOOKUP($I28,$D$3:$G$74, 4,0)</f>
        <v>2265.416</v>
      </c>
      <c r="N28" s="69" t="n">
        <f aca="false">MIN(VLOOKUP($I28,$D$3:$G$74,3,0), 'Grilles et calculs individuels'!G29*VLOOKUP($I28,'données complémentaires'!$A$3:$D$73,4,0))*VLOOKUP($I28,$D$3:$G$74, 4,0)</f>
        <v>1868.72638913762</v>
      </c>
      <c r="O28" s="69" t="n">
        <f aca="false">MIN(VLOOKUP($I28,$D$3:$G$74,3,0), 'Grilles et calculs individuels'!H29*VLOOKUP($I28,'données complémentaires'!$A$3:$D$73,4,0))*VLOOKUP($I28,$D$3:$G$74, 4,0)</f>
        <v>1868.72638913762</v>
      </c>
      <c r="P28" s="69" t="n">
        <f aca="false">MIN(VLOOKUP($I28,$D$3:$G$74,3,0), 'Grilles et calculs individuels'!I29*VLOOKUP($I28,'données complémentaires'!$A$3:$D$73,4,0))*VLOOKUP($I28,$D$3:$G$74, 4,0)</f>
        <v>1717.61523634393</v>
      </c>
      <c r="Q28" s="69" t="n">
        <f aca="false">MIN(VLOOKUP($I28,$D$3:$G$74,3,0), 'Grilles et calculs individuels'!J29*VLOOKUP($I28,'données complémentaires'!$A$3:$D$73,4,0))*VLOOKUP($I28,$D$3:$G$74, 4,0)</f>
        <v>2265.416</v>
      </c>
    </row>
    <row r="29" customFormat="false" ht="12.8" hidden="false" customHeight="false" outlineLevel="0" collapsed="false">
      <c r="C29" s="54" t="n">
        <v>27</v>
      </c>
      <c r="D29" s="54" t="n">
        <v>2014</v>
      </c>
      <c r="E29" s="54" t="n">
        <v>37548</v>
      </c>
      <c r="F29" s="76" t="n">
        <f aca="false">E29/12</f>
        <v>3129</v>
      </c>
      <c r="G29" s="77" t="n">
        <v>1</v>
      </c>
      <c r="I29" s="54" t="n">
        <f aca="false">'Grilles et calculs individuels'!$K$74-C29</f>
        <v>1988</v>
      </c>
      <c r="J29" s="69" t="n">
        <f aca="false">MIN(VLOOKUP($I29,$D$3:$G$74,3,0), 'Grilles et calculs individuels'!C30*VLOOKUP($I29,'données complémentaires'!$A$3:$D$73,4,0))*VLOOKUP($I29,$D$3:$G$74, 4,0)</f>
        <v>2071.63883384056</v>
      </c>
      <c r="K29" s="69" t="n">
        <f aca="false">MIN(VLOOKUP($I29,$D$3:$G$74,3,0), 'Grilles et calculs individuels'!D30*VLOOKUP($I29,'données complémentaires'!$A$3:$D$73,4,0))*VLOOKUP($I29,$D$3:$G$74, 4,0)</f>
        <v>2255.275</v>
      </c>
      <c r="L29" s="69" t="n">
        <f aca="false">MIN(VLOOKUP($I29,$D$3:$G$74,3,0), 'Grilles et calculs individuels'!E30*VLOOKUP($I29,'données complémentaires'!$A$3:$D$73,4,0))*VLOOKUP($I29,$D$3:$G$74, 4,0)</f>
        <v>2255.275</v>
      </c>
      <c r="M29" s="69" t="n">
        <f aca="false">MIN(VLOOKUP($I29,$D$3:$G$74,3,0), 'Grilles et calculs individuels'!F30*VLOOKUP($I29,'données complémentaires'!$A$3:$D$73,4,0))*VLOOKUP($I29,$D$3:$G$74, 4,0)</f>
        <v>2255.275</v>
      </c>
      <c r="N29" s="69" t="n">
        <f aca="false">MIN(VLOOKUP($I29,$D$3:$G$74,3,0), 'Grilles et calculs individuels'!G30*VLOOKUP($I29,'données complémentaires'!$A$3:$D$73,4,0))*VLOOKUP($I29,$D$3:$G$74, 4,0)</f>
        <v>1897.72355678098</v>
      </c>
      <c r="O29" s="69" t="n">
        <f aca="false">MIN(VLOOKUP($I29,$D$3:$G$74,3,0), 'Grilles et calculs individuels'!H30*VLOOKUP($I29,'données complémentaires'!$A$3:$D$73,4,0))*VLOOKUP($I29,$D$3:$G$74, 4,0)</f>
        <v>1897.72355678098</v>
      </c>
      <c r="P29" s="69" t="n">
        <f aca="false">MIN(VLOOKUP($I29,$D$3:$G$74,3,0), 'Grilles et calculs individuels'!I30*VLOOKUP($I29,'données complémentaires'!$A$3:$D$73,4,0))*VLOOKUP($I29,$D$3:$G$74, 4,0)</f>
        <v>1708.463788847</v>
      </c>
      <c r="Q29" s="69" t="n">
        <f aca="false">MIN(VLOOKUP($I29,$D$3:$G$74,3,0), 'Grilles et calculs individuels'!J30*VLOOKUP($I29,'données complémentaires'!$A$3:$D$73,4,0))*VLOOKUP($I29,$D$3:$G$74, 4,0)</f>
        <v>2255.275</v>
      </c>
    </row>
    <row r="30" customFormat="false" ht="12.8" hidden="false" customHeight="false" outlineLevel="0" collapsed="false">
      <c r="C30" s="54" t="n">
        <v>28</v>
      </c>
      <c r="D30" s="54" t="n">
        <v>2013</v>
      </c>
      <c r="E30" s="54" t="n">
        <v>37032</v>
      </c>
      <c r="F30" s="76" t="n">
        <f aca="false">E30/12</f>
        <v>3086</v>
      </c>
      <c r="G30" s="77" t="n">
        <v>1.013</v>
      </c>
      <c r="I30" s="54" t="n">
        <f aca="false">'Grilles et calculs individuels'!$K$74-C30</f>
        <v>1987</v>
      </c>
      <c r="J30" s="69" t="n">
        <f aca="false">MIN(VLOOKUP($I30,$D$3:$G$74,3,0), 'Grilles et calculs individuels'!C31*VLOOKUP($I30,'données complémentaires'!$A$3:$D$73,4,0))*VLOOKUP($I30,$D$3:$G$74, 4,0)</f>
        <v>2078.90514860583</v>
      </c>
      <c r="K30" s="69" t="n">
        <f aca="false">MIN(VLOOKUP($I30,$D$3:$G$74,3,0), 'Grilles et calculs individuels'!D31*VLOOKUP($I30,'données complémentaires'!$A$3:$D$73,4,0))*VLOOKUP($I30,$D$3:$G$74, 4,0)</f>
        <v>2240.84</v>
      </c>
      <c r="L30" s="69" t="n">
        <f aca="false">MIN(VLOOKUP($I30,$D$3:$G$74,3,0), 'Grilles et calculs individuels'!E31*VLOOKUP($I30,'données complémentaires'!$A$3:$D$73,4,0))*VLOOKUP($I30,$D$3:$G$74, 4,0)</f>
        <v>2240.84</v>
      </c>
      <c r="M30" s="69" t="n">
        <f aca="false">MIN(VLOOKUP($I30,$D$3:$G$74,3,0), 'Grilles et calculs individuels'!F31*VLOOKUP($I30,'données complémentaires'!$A$3:$D$73,4,0))*VLOOKUP($I30,$D$3:$G$74, 4,0)</f>
        <v>2240.84</v>
      </c>
      <c r="N30" s="69" t="n">
        <f aca="false">MIN(VLOOKUP($I30,$D$3:$G$74,3,0), 'Grilles et calculs individuels'!G31*VLOOKUP($I30,'données complémentaires'!$A$3:$D$73,4,0))*VLOOKUP($I30,$D$3:$G$74, 4,0)</f>
        <v>1822.24444374455</v>
      </c>
      <c r="O30" s="69" t="n">
        <f aca="false">MIN(VLOOKUP($I30,$D$3:$G$74,3,0), 'Grilles et calculs individuels'!H31*VLOOKUP($I30,'données complémentaires'!$A$3:$D$73,4,0))*VLOOKUP($I30,$D$3:$G$74, 4,0)</f>
        <v>1822.24444374455</v>
      </c>
      <c r="P30" s="69" t="n">
        <f aca="false">MIN(VLOOKUP($I30,$D$3:$G$74,3,0), 'Grilles et calculs individuels'!I31*VLOOKUP($I30,'données complémentaires'!$A$3:$D$73,4,0))*VLOOKUP($I30,$D$3:$G$74, 4,0)</f>
        <v>1714.45625985692</v>
      </c>
      <c r="Q30" s="69" t="n">
        <f aca="false">MIN(VLOOKUP($I30,$D$3:$G$74,3,0), 'Grilles et calculs individuels'!J31*VLOOKUP($I30,'données complémentaires'!$A$3:$D$73,4,0))*VLOOKUP($I30,$D$3:$G$74, 4,0)</f>
        <v>2240.84</v>
      </c>
    </row>
    <row r="31" customFormat="false" ht="12.8" hidden="false" customHeight="false" outlineLevel="0" collapsed="false">
      <c r="C31" s="54" t="n">
        <v>29</v>
      </c>
      <c r="D31" s="54" t="n">
        <v>2012</v>
      </c>
      <c r="E31" s="54" t="n">
        <v>36372</v>
      </c>
      <c r="F31" s="76" t="n">
        <f aca="false">E31/12</f>
        <v>3031</v>
      </c>
      <c r="G31" s="77" t="n">
        <v>1.021</v>
      </c>
      <c r="I31" s="54" t="n">
        <f aca="false">'Grilles et calculs individuels'!$K$74-C31</f>
        <v>1986</v>
      </c>
      <c r="J31" s="69" t="n">
        <f aca="false">MIN(VLOOKUP($I31,$D$3:$G$74,3,0), 'Grilles et calculs individuels'!C32*VLOOKUP($I31,'données complémentaires'!$A$3:$D$73,4,0))*VLOOKUP($I31,$D$3:$G$74, 4,0)</f>
        <v>2132.08542777845</v>
      </c>
      <c r="K31" s="69" t="n">
        <f aca="false">MIN(VLOOKUP($I31,$D$3:$G$74,3,0), 'Grilles et calculs individuels'!D32*VLOOKUP($I31,'données complémentaires'!$A$3:$D$73,4,0))*VLOOKUP($I31,$D$3:$G$74, 4,0)</f>
        <v>2234.4</v>
      </c>
      <c r="L31" s="69" t="n">
        <f aca="false">MIN(VLOOKUP($I31,$D$3:$G$74,3,0), 'Grilles et calculs individuels'!E32*VLOOKUP($I31,'données complémentaires'!$A$3:$D$73,4,0))*VLOOKUP($I31,$D$3:$G$74, 4,0)</f>
        <v>2234.4</v>
      </c>
      <c r="M31" s="69" t="n">
        <f aca="false">MIN(VLOOKUP($I31,$D$3:$G$74,3,0), 'Grilles et calculs individuels'!F32*VLOOKUP($I31,'données complémentaires'!$A$3:$D$73,4,0))*VLOOKUP($I31,$D$3:$G$74, 4,0)</f>
        <v>2234.4</v>
      </c>
      <c r="N31" s="69" t="n">
        <f aca="false">MIN(VLOOKUP($I31,$D$3:$G$74,3,0), 'Grilles et calculs individuels'!G32*VLOOKUP($I31,'données complémentaires'!$A$3:$D$73,4,0))*VLOOKUP($I31,$D$3:$G$74, 4,0)</f>
        <v>1868.85910930737</v>
      </c>
      <c r="O31" s="69" t="n">
        <f aca="false">MIN(VLOOKUP($I31,$D$3:$G$74,3,0), 'Grilles et calculs individuels'!H32*VLOOKUP($I31,'données complémentaires'!$A$3:$D$73,4,0))*VLOOKUP($I31,$D$3:$G$74, 4,0)</f>
        <v>1868.85910930737</v>
      </c>
      <c r="P31" s="69" t="n">
        <f aca="false">MIN(VLOOKUP($I31,$D$3:$G$74,3,0), 'Grilles et calculs individuels'!I32*VLOOKUP($I31,'données complémentaires'!$A$3:$D$73,4,0))*VLOOKUP($I31,$D$3:$G$74, 4,0)</f>
        <v>1721.46510478685</v>
      </c>
      <c r="Q31" s="69" t="n">
        <f aca="false">MIN(VLOOKUP($I31,$D$3:$G$74,3,0), 'Grilles et calculs individuels'!J32*VLOOKUP($I31,'données complémentaires'!$A$3:$D$73,4,0))*VLOOKUP($I31,$D$3:$G$74, 4,0)</f>
        <v>2234.4</v>
      </c>
    </row>
    <row r="32" customFormat="false" ht="12.8" hidden="false" customHeight="false" outlineLevel="0" collapsed="false">
      <c r="C32" s="54" t="n">
        <v>30</v>
      </c>
      <c r="D32" s="54" t="n">
        <v>2011</v>
      </c>
      <c r="E32" s="54" t="n">
        <v>35352</v>
      </c>
      <c r="F32" s="76" t="n">
        <f aca="false">E32/12</f>
        <v>2946</v>
      </c>
      <c r="G32" s="77" t="n">
        <v>1.021</v>
      </c>
      <c r="I32" s="54" t="n">
        <f aca="false">'Grilles et calculs individuels'!$K$74-C32</f>
        <v>1985</v>
      </c>
      <c r="J32" s="69" t="n">
        <f aca="false">MIN(VLOOKUP($I32,$D$3:$G$74,3,0), 'Grilles et calculs individuels'!C33*VLOOKUP($I32,'données complémentaires'!$A$3:$D$73,4,0))*VLOOKUP($I32,$D$3:$G$74, 4,0)</f>
        <v>2056.30489381468</v>
      </c>
      <c r="K32" s="69" t="n">
        <f aca="false">MIN(VLOOKUP($I32,$D$3:$G$74,3,0), 'Grilles et calculs individuels'!D33*VLOOKUP($I32,'données complémentaires'!$A$3:$D$73,4,0))*VLOOKUP($I32,$D$3:$G$74, 4,0)</f>
        <v>2168.859</v>
      </c>
      <c r="L32" s="69" t="n">
        <f aca="false">MIN(VLOOKUP($I32,$D$3:$G$74,3,0), 'Grilles et calculs individuels'!E33*VLOOKUP($I32,'données complémentaires'!$A$3:$D$73,4,0))*VLOOKUP($I32,$D$3:$G$74, 4,0)</f>
        <v>2168.859</v>
      </c>
      <c r="M32" s="69" t="n">
        <f aca="false">MIN(VLOOKUP($I32,$D$3:$G$74,3,0), 'Grilles et calculs individuels'!F33*VLOOKUP($I32,'données complémentaires'!$A$3:$D$73,4,0))*VLOOKUP($I32,$D$3:$G$74, 4,0)</f>
        <v>2168.859</v>
      </c>
      <c r="N32" s="69" t="n">
        <f aca="false">MIN(VLOOKUP($I32,$D$3:$G$74,3,0), 'Grilles et calculs individuels'!G33*VLOOKUP($I32,'données complémentaires'!$A$3:$D$73,4,0))*VLOOKUP($I32,$D$3:$G$74, 4,0)</f>
        <v>1871.7645650472</v>
      </c>
      <c r="O32" s="69" t="n">
        <f aca="false">MIN(VLOOKUP($I32,$D$3:$G$74,3,0), 'Grilles et calculs individuels'!H33*VLOOKUP($I32,'données complémentaires'!$A$3:$D$73,4,0))*VLOOKUP($I32,$D$3:$G$74, 4,0)</f>
        <v>1871.7645650472</v>
      </c>
      <c r="P32" s="69" t="n">
        <f aca="false">MIN(VLOOKUP($I32,$D$3:$G$74,3,0), 'Grilles et calculs individuels'!I33*VLOOKUP($I32,'données complémentaires'!$A$3:$D$73,4,0))*VLOOKUP($I32,$D$3:$G$74, 4,0)</f>
        <v>1724.1414117619</v>
      </c>
      <c r="Q32" s="69" t="n">
        <f aca="false">MIN(VLOOKUP($I32,$D$3:$G$74,3,0), 'Grilles et calculs individuels'!J33*VLOOKUP($I32,'données complémentaires'!$A$3:$D$73,4,0))*VLOOKUP($I32,$D$3:$G$74, 4,0)</f>
        <v>2168.859</v>
      </c>
    </row>
    <row r="33" customFormat="false" ht="12.8" hidden="false" customHeight="false" outlineLevel="0" collapsed="false">
      <c r="C33" s="54" t="n">
        <v>31</v>
      </c>
      <c r="D33" s="54" t="n">
        <v>2010</v>
      </c>
      <c r="E33" s="54" t="n">
        <v>34620</v>
      </c>
      <c r="F33" s="76" t="n">
        <f aca="false">E33/12</f>
        <v>2885</v>
      </c>
      <c r="G33" s="77" t="n">
        <v>1.03</v>
      </c>
      <c r="I33" s="54" t="n">
        <f aca="false">'Grilles et calculs individuels'!$K$74-C33</f>
        <v>1984</v>
      </c>
      <c r="J33" s="69" t="n">
        <f aca="false">MIN(VLOOKUP($I33,$D$3:$G$74,3,0), 'Grilles et calculs individuels'!C34*VLOOKUP($I33,'données complémentaires'!$A$3:$D$73,4,0))*VLOOKUP($I33,$D$3:$G$74, 4,0)</f>
        <v>2056.06917830417</v>
      </c>
      <c r="K33" s="69" t="n">
        <f aca="false">MIN(VLOOKUP($I33,$D$3:$G$74,3,0), 'Grilles et calculs individuels'!D34*VLOOKUP($I33,'données complémentaires'!$A$3:$D$73,4,0))*VLOOKUP($I33,$D$3:$G$74, 4,0)</f>
        <v>2115.08</v>
      </c>
      <c r="L33" s="69" t="n">
        <f aca="false">MIN(VLOOKUP($I33,$D$3:$G$74,3,0), 'Grilles et calculs individuels'!E34*VLOOKUP($I33,'données complémentaires'!$A$3:$D$73,4,0))*VLOOKUP($I33,$D$3:$G$74, 4,0)</f>
        <v>2115.08</v>
      </c>
      <c r="M33" s="69" t="n">
        <f aca="false">MIN(VLOOKUP($I33,$D$3:$G$74,3,0), 'Grilles et calculs individuels'!F34*VLOOKUP($I33,'données complémentaires'!$A$3:$D$73,4,0))*VLOOKUP($I33,$D$3:$G$74, 4,0)</f>
        <v>2115.08</v>
      </c>
      <c r="N33" s="69" t="n">
        <f aca="false">MIN(VLOOKUP($I33,$D$3:$G$74,3,0), 'Grilles et calculs individuels'!G34*VLOOKUP($I33,'données complémentaires'!$A$3:$D$73,4,0))*VLOOKUP($I33,$D$3:$G$74, 4,0)</f>
        <v>1797.74688793384</v>
      </c>
      <c r="O33" s="69" t="n">
        <f aca="false">MIN(VLOOKUP($I33,$D$3:$G$74,3,0), 'Grilles et calculs individuels'!H34*VLOOKUP($I33,'données complémentaires'!$A$3:$D$73,4,0))*VLOOKUP($I33,$D$3:$G$74, 4,0)</f>
        <v>1797.74688793384</v>
      </c>
      <c r="P33" s="69" t="n">
        <f aca="false">MIN(VLOOKUP($I33,$D$3:$G$74,3,0), 'Grilles et calculs individuels'!I34*VLOOKUP($I33,'données complémentaires'!$A$3:$D$73,4,0))*VLOOKUP($I33,$D$3:$G$74, 4,0)</f>
        <v>1713.38908427756</v>
      </c>
      <c r="Q33" s="69" t="n">
        <f aca="false">MIN(VLOOKUP($I33,$D$3:$G$74,3,0), 'Grilles et calculs individuels'!J34*VLOOKUP($I33,'données complémentaires'!$A$3:$D$73,4,0))*VLOOKUP($I33,$D$3:$G$74, 4,0)</f>
        <v>2115.08</v>
      </c>
    </row>
    <row r="34" customFormat="false" ht="12.8" hidden="false" customHeight="false" outlineLevel="0" collapsed="false">
      <c r="C34" s="54" t="n">
        <v>32</v>
      </c>
      <c r="D34" s="54" t="n">
        <v>2009</v>
      </c>
      <c r="E34" s="54" t="n">
        <v>34308</v>
      </c>
      <c r="F34" s="76" t="n">
        <f aca="false">E34/12</f>
        <v>2859</v>
      </c>
      <c r="G34" s="77" t="n">
        <v>1.04</v>
      </c>
      <c r="I34" s="54" t="n">
        <f aca="false">'Grilles et calculs individuels'!$K$74-C34</f>
        <v>1983</v>
      </c>
      <c r="J34" s="69" t="n">
        <f aca="false">MIN(VLOOKUP($I34,$D$3:$G$74,3,0), 'Grilles et calculs individuels'!C35*VLOOKUP($I34,'données complémentaires'!$A$3:$D$73,4,0))*VLOOKUP($I34,$D$3:$G$74, 4,0)</f>
        <v>1913.78633886433</v>
      </c>
      <c r="K34" s="69" t="n">
        <f aca="false">MIN(VLOOKUP($I34,$D$3:$G$74,3,0), 'Grilles et calculs individuels'!D35*VLOOKUP($I34,'données complémentaires'!$A$3:$D$73,4,0))*VLOOKUP($I34,$D$3:$G$74, 4,0)</f>
        <v>2055.06</v>
      </c>
      <c r="L34" s="69" t="n">
        <f aca="false">MIN(VLOOKUP($I34,$D$3:$G$74,3,0), 'Grilles et calculs individuels'!E35*VLOOKUP($I34,'données complémentaires'!$A$3:$D$73,4,0))*VLOOKUP($I34,$D$3:$G$74, 4,0)</f>
        <v>2055.06</v>
      </c>
      <c r="M34" s="69" t="n">
        <f aca="false">MIN(VLOOKUP($I34,$D$3:$G$74,3,0), 'Grilles et calculs individuels'!F35*VLOOKUP($I34,'données complémentaires'!$A$3:$D$73,4,0))*VLOOKUP($I34,$D$3:$G$74, 4,0)</f>
        <v>2055.06</v>
      </c>
      <c r="N34" s="69" t="n">
        <f aca="false">MIN(VLOOKUP($I34,$D$3:$G$74,3,0), 'Grilles et calculs individuels'!G35*VLOOKUP($I34,'données complémentaires'!$A$3:$D$73,4,0))*VLOOKUP($I34,$D$3:$G$74, 4,0)</f>
        <v>1740.26968141575</v>
      </c>
      <c r="O34" s="69" t="n">
        <f aca="false">MIN(VLOOKUP($I34,$D$3:$G$74,3,0), 'Grilles et calculs individuels'!H35*VLOOKUP($I34,'données complémentaires'!$A$3:$D$73,4,0))*VLOOKUP($I34,$D$3:$G$74, 4,0)</f>
        <v>1740.26968141575</v>
      </c>
      <c r="P34" s="69" t="n">
        <f aca="false">MIN(VLOOKUP($I34,$D$3:$G$74,3,0), 'Grilles et calculs individuels'!I35*VLOOKUP($I34,'données complémentaires'!$A$3:$D$73,4,0))*VLOOKUP($I34,$D$3:$G$74, 4,0)</f>
        <v>1658.60894870683</v>
      </c>
      <c r="Q34" s="69" t="n">
        <f aca="false">MIN(VLOOKUP($I34,$D$3:$G$74,3,0), 'Grilles et calculs individuels'!J35*VLOOKUP($I34,'données complémentaires'!$A$3:$D$73,4,0))*VLOOKUP($I34,$D$3:$G$74, 4,0)</f>
        <v>2055.06</v>
      </c>
    </row>
    <row r="35" customFormat="false" ht="12.8" hidden="false" customHeight="false" outlineLevel="0" collapsed="false">
      <c r="C35" s="54" t="n">
        <v>33</v>
      </c>
      <c r="D35" s="54" t="n">
        <v>2008</v>
      </c>
      <c r="E35" s="54" t="n">
        <v>33276</v>
      </c>
      <c r="F35" s="76" t="n">
        <f aca="false">E35/12</f>
        <v>2773</v>
      </c>
      <c r="G35" s="77" t="n">
        <v>1.048</v>
      </c>
      <c r="I35" s="54" t="n">
        <f aca="false">'Grilles et calculs individuels'!$K$74-C35</f>
        <v>1982</v>
      </c>
      <c r="J35" s="69" t="n">
        <f aca="false">MIN(VLOOKUP($I35,$D$3:$G$74,3,0), 'Grilles et calculs individuels'!C36*VLOOKUP($I35,'données complémentaires'!$A$3:$D$73,4,0))*VLOOKUP($I35,$D$3:$G$74, 4,0)</f>
        <v>1859.71566940168</v>
      </c>
      <c r="K35" s="69" t="n">
        <f aca="false">MIN(VLOOKUP($I35,$D$3:$G$74,3,0), 'Grilles et calculs individuels'!D36*VLOOKUP($I35,'données complémentaires'!$A$3:$D$73,4,0))*VLOOKUP($I35,$D$3:$G$74, 4,0)</f>
        <v>1948.54</v>
      </c>
      <c r="L35" s="69" t="n">
        <f aca="false">MIN(VLOOKUP($I35,$D$3:$G$74,3,0), 'Grilles et calculs individuels'!E36*VLOOKUP($I35,'données complémentaires'!$A$3:$D$73,4,0))*VLOOKUP($I35,$D$3:$G$74, 4,0)</f>
        <v>1948.54</v>
      </c>
      <c r="M35" s="69" t="n">
        <f aca="false">MIN(VLOOKUP($I35,$D$3:$G$74,3,0), 'Grilles et calculs individuels'!F36*VLOOKUP($I35,'données complémentaires'!$A$3:$D$73,4,0))*VLOOKUP($I35,$D$3:$G$74, 4,0)</f>
        <v>1948.54</v>
      </c>
      <c r="N35" s="69" t="n">
        <f aca="false">MIN(VLOOKUP($I35,$D$3:$G$74,3,0), 'Grilles et calculs individuels'!G36*VLOOKUP($I35,'données complémentaires'!$A$3:$D$73,4,0))*VLOOKUP($I35,$D$3:$G$74, 4,0)</f>
        <v>1656.38892686026</v>
      </c>
      <c r="O35" s="69" t="n">
        <f aca="false">MIN(VLOOKUP($I35,$D$3:$G$74,3,0), 'Grilles et calculs individuels'!H36*VLOOKUP($I35,'données complémentaires'!$A$3:$D$73,4,0))*VLOOKUP($I35,$D$3:$G$74, 4,0)</f>
        <v>1656.38892686026</v>
      </c>
      <c r="P35" s="69" t="n">
        <f aca="false">MIN(VLOOKUP($I35,$D$3:$G$74,3,0), 'Grilles et calculs individuels'!I36*VLOOKUP($I35,'données complémentaires'!$A$3:$D$73,4,0))*VLOOKUP($I35,$D$3:$G$74, 4,0)</f>
        <v>1601.83001269539</v>
      </c>
      <c r="Q35" s="69" t="n">
        <f aca="false">MIN(VLOOKUP($I35,$D$3:$G$74,3,0), 'Grilles et calculs individuels'!J36*VLOOKUP($I35,'données complémentaires'!$A$3:$D$73,4,0))*VLOOKUP($I35,$D$3:$G$74, 4,0)</f>
        <v>1948.54</v>
      </c>
    </row>
    <row r="36" customFormat="false" ht="12.8" hidden="false" customHeight="false" outlineLevel="0" collapsed="false">
      <c r="C36" s="54" t="n">
        <v>34</v>
      </c>
      <c r="D36" s="54" t="n">
        <v>2007</v>
      </c>
      <c r="E36" s="54" t="n">
        <v>32184</v>
      </c>
      <c r="F36" s="76" t="n">
        <f aca="false">E36/12</f>
        <v>2682</v>
      </c>
      <c r="G36" s="77" t="n">
        <v>1.059</v>
      </c>
      <c r="H36" s="78"/>
      <c r="I36" s="54" t="n">
        <f aca="false">'Grilles et calculs individuels'!$K$74-C36</f>
        <v>1981</v>
      </c>
      <c r="J36" s="69" t="n">
        <f aca="false">MIN(VLOOKUP($I36,$D$3:$G$74,3,0), 'Grilles et calculs individuels'!C37*VLOOKUP($I36,'données complémentaires'!$A$3:$D$73,4,0))*VLOOKUP($I36,$D$3:$G$74, 4,0)</f>
        <v>1781.2123014543</v>
      </c>
      <c r="K36" s="69" t="n">
        <f aca="false">MIN(VLOOKUP($I36,$D$3:$G$74,3,0), 'Grilles et calculs individuels'!D37*VLOOKUP($I36,'données complémentaires'!$A$3:$D$73,4,0))*VLOOKUP($I36,$D$3:$G$74, 4,0)</f>
        <v>1829.17782720514</v>
      </c>
      <c r="L36" s="69" t="n">
        <f aca="false">MIN(VLOOKUP($I36,$D$3:$G$74,3,0), 'Grilles et calculs individuels'!E37*VLOOKUP($I36,'données complémentaires'!$A$3:$D$73,4,0))*VLOOKUP($I36,$D$3:$G$74, 4,0)</f>
        <v>1829.17782720514</v>
      </c>
      <c r="M36" s="69" t="n">
        <f aca="false">MIN(VLOOKUP($I36,$D$3:$G$74,3,0), 'Grilles et calculs individuels'!F37*VLOOKUP($I36,'données complémentaires'!$A$3:$D$73,4,0))*VLOOKUP($I36,$D$3:$G$74, 4,0)</f>
        <v>1829.17782720514</v>
      </c>
      <c r="N36" s="69" t="n">
        <f aca="false">MIN(VLOOKUP($I36,$D$3:$G$74,3,0), 'Grilles et calculs individuels'!G37*VLOOKUP($I36,'données complémentaires'!$A$3:$D$73,4,0))*VLOOKUP($I36,$D$3:$G$74, 4,0)</f>
        <v>1647.98954762979</v>
      </c>
      <c r="O36" s="69" t="n">
        <f aca="false">MIN(VLOOKUP($I36,$D$3:$G$74,3,0), 'Grilles et calculs individuels'!H37*VLOOKUP($I36,'données complémentaires'!$A$3:$D$73,4,0))*VLOOKUP($I36,$D$3:$G$74, 4,0)</f>
        <v>1647.98954762979</v>
      </c>
      <c r="P36" s="69" t="n">
        <f aca="false">MIN(VLOOKUP($I36,$D$3:$G$74,3,0), 'Grilles et calculs individuels'!I37*VLOOKUP($I36,'données complémentaires'!$A$3:$D$73,4,0))*VLOOKUP($I36,$D$3:$G$74, 4,0)</f>
        <v>1593.70729615147</v>
      </c>
      <c r="Q36" s="69" t="n">
        <f aca="false">MIN(VLOOKUP($I36,$D$3:$G$74,3,0), 'Grilles et calculs individuels'!J37*VLOOKUP($I36,'données complémentaires'!$A$3:$D$73,4,0))*VLOOKUP($I36,$D$3:$G$74, 4,0)</f>
        <v>1829.17782720514</v>
      </c>
    </row>
    <row r="37" customFormat="false" ht="12.8" hidden="false" customHeight="false" outlineLevel="0" collapsed="false">
      <c r="C37" s="54" t="n">
        <v>35</v>
      </c>
      <c r="D37" s="54" t="n">
        <v>2006</v>
      </c>
      <c r="E37" s="54" t="n">
        <v>31068</v>
      </c>
      <c r="F37" s="76" t="n">
        <f aca="false">E37/12</f>
        <v>2589</v>
      </c>
      <c r="G37" s="77" t="n">
        <v>1.078</v>
      </c>
      <c r="H37" s="78"/>
      <c r="I37" s="54" t="n">
        <f aca="false">'Grilles et calculs individuels'!$K$74-C37</f>
        <v>1980</v>
      </c>
      <c r="J37" s="69" t="n">
        <f aca="false">MIN(VLOOKUP($I37,$D$3:$G$74,3,0), 'Grilles et calculs individuels'!C38*VLOOKUP($I37,'données complémentaires'!$A$3:$D$73,4,0))*VLOOKUP($I37,$D$3:$G$74, 4,0)</f>
        <v>1769.89910718771</v>
      </c>
      <c r="K37" s="69" t="n">
        <f aca="false">MIN(VLOOKUP($I37,$D$3:$G$74,3,0), 'Grilles et calculs individuels'!D38*VLOOKUP($I37,'données complémentaires'!$A$3:$D$73,4,0))*VLOOKUP($I37,$D$3:$G$74, 4,0)</f>
        <v>1810.8976655482</v>
      </c>
      <c r="L37" s="69" t="n">
        <f aca="false">MIN(VLOOKUP($I37,$D$3:$G$74,3,0), 'Grilles et calculs individuels'!E38*VLOOKUP($I37,'données complémentaires'!$A$3:$D$73,4,0))*VLOOKUP($I37,$D$3:$G$74, 4,0)</f>
        <v>1810.8976655482</v>
      </c>
      <c r="M37" s="69" t="n">
        <f aca="false">MIN(VLOOKUP($I37,$D$3:$G$74,3,0), 'Grilles et calculs individuels'!F38*VLOOKUP($I37,'données complémentaires'!$A$3:$D$73,4,0))*VLOOKUP($I37,$D$3:$G$74, 4,0)</f>
        <v>1810.8976655482</v>
      </c>
      <c r="N37" s="69" t="n">
        <f aca="false">MIN(VLOOKUP($I37,$D$3:$G$74,3,0), 'Grilles et calculs individuels'!G38*VLOOKUP($I37,'données complémentaires'!$A$3:$D$73,4,0))*VLOOKUP($I37,$D$3:$G$74, 4,0)</f>
        <v>1603.20538975075</v>
      </c>
      <c r="O37" s="69" t="n">
        <f aca="false">MIN(VLOOKUP($I37,$D$3:$G$74,3,0), 'Grilles et calculs individuels'!H38*VLOOKUP($I37,'données complémentaires'!$A$3:$D$73,4,0))*VLOOKUP($I37,$D$3:$G$74, 4,0)</f>
        <v>1603.20538975075</v>
      </c>
      <c r="P37" s="69" t="n">
        <f aca="false">MIN(VLOOKUP($I37,$D$3:$G$74,3,0), 'Grilles et calculs individuels'!I38*VLOOKUP($I37,'données complémentaires'!$A$3:$D$73,4,0))*VLOOKUP($I37,$D$3:$G$74, 4,0)</f>
        <v>1578.68257646333</v>
      </c>
      <c r="Q37" s="69" t="n">
        <f aca="false">MIN(VLOOKUP($I37,$D$3:$G$74,3,0), 'Grilles et calculs individuels'!J38*VLOOKUP($I37,'données complémentaires'!$A$3:$D$73,4,0))*VLOOKUP($I37,$D$3:$G$74, 4,0)</f>
        <v>1810.8976655482</v>
      </c>
    </row>
    <row r="38" customFormat="false" ht="12.8" hidden="false" customHeight="false" outlineLevel="0" collapsed="false">
      <c r="C38" s="54" t="n">
        <v>36</v>
      </c>
      <c r="D38" s="54" t="n">
        <v>2005</v>
      </c>
      <c r="E38" s="54" t="n">
        <v>30192</v>
      </c>
      <c r="F38" s="76" t="n">
        <f aca="false">E38/12</f>
        <v>2516</v>
      </c>
      <c r="G38" s="77" t="n">
        <v>1.096</v>
      </c>
      <c r="H38" s="78"/>
      <c r="I38" s="54" t="n">
        <f aca="false">'Grilles et calculs individuels'!$K$74-C38</f>
        <v>1979</v>
      </c>
      <c r="J38" s="69" t="n">
        <f aca="false">MIN(VLOOKUP($I38,$D$3:$G$74,3,0), 'Grilles et calculs individuels'!C39*VLOOKUP($I38,'données complémentaires'!$A$3:$D$73,4,0))*VLOOKUP($I38,$D$3:$G$74, 4,0)</f>
        <v>1696.62610180698</v>
      </c>
      <c r="K38" s="69" t="n">
        <f aca="false">MIN(VLOOKUP($I38,$D$3:$G$74,3,0), 'Grilles et calculs individuels'!D39*VLOOKUP($I38,'données complémentaires'!$A$3:$D$73,4,0))*VLOOKUP($I38,$D$3:$G$74, 4,0)</f>
        <v>1837.86284771715</v>
      </c>
      <c r="L38" s="69" t="n">
        <f aca="false">MIN(VLOOKUP($I38,$D$3:$G$74,3,0), 'Grilles et calculs individuels'!E39*VLOOKUP($I38,'données complémentaires'!$A$3:$D$73,4,0))*VLOOKUP($I38,$D$3:$G$74, 4,0)</f>
        <v>1837.86284771715</v>
      </c>
      <c r="M38" s="69" t="n">
        <f aca="false">MIN(VLOOKUP($I38,$D$3:$G$74,3,0), 'Grilles et calculs individuels'!F39*VLOOKUP($I38,'données complémentaires'!$A$3:$D$73,4,0))*VLOOKUP($I38,$D$3:$G$74, 4,0)</f>
        <v>1837.86284771715</v>
      </c>
      <c r="N38" s="69" t="n">
        <f aca="false">MIN(VLOOKUP($I38,$D$3:$G$74,3,0), 'Grilles et calculs individuels'!G39*VLOOKUP($I38,'données complémentaires'!$A$3:$D$73,4,0))*VLOOKUP($I38,$D$3:$G$74, 4,0)</f>
        <v>1594.24984609515</v>
      </c>
      <c r="O38" s="69" t="n">
        <f aca="false">MIN(VLOOKUP($I38,$D$3:$G$74,3,0), 'Grilles et calculs individuels'!H39*VLOOKUP($I38,'données complémentaires'!$A$3:$D$73,4,0))*VLOOKUP($I38,$D$3:$G$74, 4,0)</f>
        <v>1594.24984609515</v>
      </c>
      <c r="P38" s="69" t="n">
        <f aca="false">MIN(VLOOKUP($I38,$D$3:$G$74,3,0), 'Grilles et calculs individuels'!I39*VLOOKUP($I38,'données complémentaires'!$A$3:$D$73,4,0))*VLOOKUP($I38,$D$3:$G$74, 4,0)</f>
        <v>1564.98895803353</v>
      </c>
      <c r="Q38" s="69" t="n">
        <f aca="false">MIN(VLOOKUP($I38,$D$3:$G$74,3,0), 'Grilles et calculs individuels'!J39*VLOOKUP($I38,'données complémentaires'!$A$3:$D$73,4,0))*VLOOKUP($I38,$D$3:$G$74, 4,0)</f>
        <v>1800.22901943286</v>
      </c>
    </row>
    <row r="39" customFormat="false" ht="12.8" hidden="false" customHeight="false" outlineLevel="0" collapsed="false">
      <c r="C39" s="54" t="n">
        <v>37</v>
      </c>
      <c r="D39" s="54" t="n">
        <v>2004</v>
      </c>
      <c r="E39" s="54" t="n">
        <v>29712</v>
      </c>
      <c r="F39" s="76" t="n">
        <f aca="false">E39/12</f>
        <v>2476</v>
      </c>
      <c r="G39" s="77" t="n">
        <v>1.116</v>
      </c>
      <c r="H39" s="78"/>
      <c r="I39" s="54" t="n">
        <f aca="false">'Grilles et calculs individuels'!$K$74-C39</f>
        <v>1978</v>
      </c>
      <c r="J39" s="69" t="n">
        <f aca="false">MIN(VLOOKUP($I39,$D$3:$G$74,3,0), 'Grilles et calculs individuels'!C40*VLOOKUP($I39,'données complémentaires'!$A$3:$D$73,4,0))*VLOOKUP($I39,$D$3:$G$74, 4,0)</f>
        <v>1677.63231428834</v>
      </c>
      <c r="K39" s="69" t="n">
        <f aca="false">MIN(VLOOKUP($I39,$D$3:$G$74,3,0), 'Grilles et calculs individuels'!D40*VLOOKUP($I39,'données complémentaires'!$A$3:$D$73,4,0))*VLOOKUP($I39,$D$3:$G$74, 4,0)</f>
        <v>1801.94738374619</v>
      </c>
      <c r="L39" s="69" t="n">
        <f aca="false">MIN(VLOOKUP($I39,$D$3:$G$74,3,0), 'Grilles et calculs individuels'!E40*VLOOKUP($I39,'données complémentaires'!$A$3:$D$73,4,0))*VLOOKUP($I39,$D$3:$G$74, 4,0)</f>
        <v>1801.94738374619</v>
      </c>
      <c r="M39" s="69" t="n">
        <f aca="false">MIN(VLOOKUP($I39,$D$3:$G$74,3,0), 'Grilles et calculs individuels'!F40*VLOOKUP($I39,'données complémentaires'!$A$3:$D$73,4,0))*VLOOKUP($I39,$D$3:$G$74, 4,0)</f>
        <v>1801.94738374619</v>
      </c>
      <c r="N39" s="69" t="n">
        <f aca="false">MIN(VLOOKUP($I39,$D$3:$G$74,3,0), 'Grilles et calculs individuels'!G40*VLOOKUP($I39,'données complémentaires'!$A$3:$D$73,4,0))*VLOOKUP($I39,$D$3:$G$74, 4,0)</f>
        <v>1566.75078619885</v>
      </c>
      <c r="O39" s="69" t="n">
        <f aca="false">MIN(VLOOKUP($I39,$D$3:$G$74,3,0), 'Grilles et calculs individuels'!H40*VLOOKUP($I39,'données complémentaires'!$A$3:$D$73,4,0))*VLOOKUP($I39,$D$3:$G$74, 4,0)</f>
        <v>1566.75078619885</v>
      </c>
      <c r="P39" s="69" t="n">
        <f aca="false">MIN(VLOOKUP($I39,$D$3:$G$74,3,0), 'Grilles et calculs individuels'!I40*VLOOKUP($I39,'données complémentaires'!$A$3:$D$73,4,0))*VLOOKUP($I39,$D$3:$G$74, 4,0)</f>
        <v>0</v>
      </c>
      <c r="Q39" s="69" t="n">
        <f aca="false">MIN(VLOOKUP($I39,$D$3:$G$74,3,0), 'Grilles et calculs individuels'!J40*VLOOKUP($I39,'données complémentaires'!$A$3:$D$73,4,0))*VLOOKUP($I39,$D$3:$G$74, 4,0)</f>
        <v>0</v>
      </c>
    </row>
    <row r="40" customFormat="false" ht="12.8" hidden="false" customHeight="false" outlineLevel="0" collapsed="false">
      <c r="C40" s="54" t="n">
        <v>38</v>
      </c>
      <c r="D40" s="54" t="n">
        <v>2003</v>
      </c>
      <c r="E40" s="54" t="n">
        <v>29184</v>
      </c>
      <c r="F40" s="76" t="n">
        <f aca="false">E40/12</f>
        <v>2432</v>
      </c>
      <c r="G40" s="77" t="n">
        <v>1.134</v>
      </c>
      <c r="H40" s="78"/>
      <c r="I40" s="54" t="n">
        <f aca="false">'Grilles et calculs individuels'!$K$74-C40</f>
        <v>1977</v>
      </c>
      <c r="J40" s="69" t="n">
        <f aca="false">MIN(VLOOKUP($I40,$D$3:$G$74,3,0), 'Grilles et calculs individuels'!C41*VLOOKUP($I40,'données complémentaires'!$A$3:$D$73,4,0))*VLOOKUP($I40,$D$3:$G$74, 4,0)</f>
        <v>1650.38780160933</v>
      </c>
      <c r="K40" s="69" t="n">
        <f aca="false">MIN(VLOOKUP($I40,$D$3:$G$74,3,0), 'Grilles et calculs individuels'!D41*VLOOKUP($I40,'données complémentaires'!$A$3:$D$73,4,0))*VLOOKUP($I40,$D$3:$G$74, 4,0)</f>
        <v>1808.42036901809</v>
      </c>
      <c r="L40" s="69" t="n">
        <f aca="false">MIN(VLOOKUP($I40,$D$3:$G$74,3,0), 'Grilles et calculs individuels'!E41*VLOOKUP($I40,'données complémentaires'!$A$3:$D$73,4,0))*VLOOKUP($I40,$D$3:$G$74, 4,0)</f>
        <v>1808.42036901809</v>
      </c>
      <c r="M40" s="69" t="n">
        <f aca="false">MIN(VLOOKUP($I40,$D$3:$G$74,3,0), 'Grilles et calculs individuels'!F41*VLOOKUP($I40,'données complémentaires'!$A$3:$D$73,4,0))*VLOOKUP($I40,$D$3:$G$74, 4,0)</f>
        <v>1808.42036901809</v>
      </c>
      <c r="N40" s="69" t="n">
        <f aca="false">MIN(VLOOKUP($I40,$D$3:$G$74,3,0), 'Grilles et calculs individuels'!G41*VLOOKUP($I40,'données complémentaires'!$A$3:$D$73,4,0))*VLOOKUP($I40,$D$3:$G$74, 4,0)</f>
        <v>1577.57071674635</v>
      </c>
      <c r="O40" s="69" t="n">
        <f aca="false">MIN(VLOOKUP($I40,$D$3:$G$74,3,0), 'Grilles et calculs individuels'!H41*VLOOKUP($I40,'données complémentaires'!$A$3:$D$73,4,0))*VLOOKUP($I40,$D$3:$G$74, 4,0)</f>
        <v>1577.57071674635</v>
      </c>
      <c r="P40" s="69" t="n">
        <f aca="false">MIN(VLOOKUP($I40,$D$3:$G$74,3,0), 'Grilles et calculs individuels'!I41*VLOOKUP($I40,'données complémentaires'!$A$3:$D$73,4,0))*VLOOKUP($I40,$D$3:$G$74, 4,0)</f>
        <v>0</v>
      </c>
      <c r="Q40" s="69" t="n">
        <f aca="false">MIN(VLOOKUP($I40,$D$3:$G$74,3,0), 'Grilles et calculs individuels'!J41*VLOOKUP($I40,'données complémentaires'!$A$3:$D$73,4,0))*VLOOKUP($I40,$D$3:$G$74, 4,0)</f>
        <v>0</v>
      </c>
    </row>
    <row r="41" customFormat="false" ht="12.8" hidden="false" customHeight="false" outlineLevel="0" collapsed="false">
      <c r="C41" s="54" t="n">
        <v>39</v>
      </c>
      <c r="D41" s="54" t="n">
        <v>2002</v>
      </c>
      <c r="E41" s="54" t="n">
        <v>28224</v>
      </c>
      <c r="F41" s="76" t="n">
        <f aca="false">E41/12</f>
        <v>2352</v>
      </c>
      <c r="G41" s="77" t="n">
        <v>1.152</v>
      </c>
      <c r="H41" s="78"/>
      <c r="I41" s="54" t="n">
        <f aca="false">'Grilles et calculs individuels'!$K$74-C41</f>
        <v>1976</v>
      </c>
      <c r="J41" s="69" t="n">
        <f aca="false">MIN(VLOOKUP($I41,$D$3:$G$74,3,0), 'Grilles et calculs individuels'!C42*VLOOKUP($I41,'données complémentaires'!$A$3:$D$73,4,0))*VLOOKUP($I41,$D$3:$G$74, 4,0)</f>
        <v>1743.47978288625</v>
      </c>
      <c r="K41" s="69" t="n">
        <f aca="false">MIN(VLOOKUP($I41,$D$3:$G$74,3,0), 'Grilles et calculs individuels'!D42*VLOOKUP($I41,'données complémentaires'!$A$3:$D$73,4,0))*VLOOKUP($I41,$D$3:$G$74, 4,0)</f>
        <v>1835.42518793153</v>
      </c>
      <c r="L41" s="69" t="n">
        <f aca="false">MIN(VLOOKUP($I41,$D$3:$G$74,3,0), 'Grilles et calculs individuels'!E42*VLOOKUP($I41,'données complémentaires'!$A$3:$D$73,4,0))*VLOOKUP($I41,$D$3:$G$74, 4,0)</f>
        <v>1835.42518793153</v>
      </c>
      <c r="M41" s="69" t="n">
        <f aca="false">MIN(VLOOKUP($I41,$D$3:$G$74,3,0), 'Grilles et calculs individuels'!F42*VLOOKUP($I41,'données complémentaires'!$A$3:$D$73,4,0))*VLOOKUP($I41,$D$3:$G$74, 4,0)</f>
        <v>1835.42518793153</v>
      </c>
      <c r="N41" s="69" t="n">
        <f aca="false">MIN(VLOOKUP($I41,$D$3:$G$74,3,0), 'Grilles et calculs individuels'!G42*VLOOKUP($I41,'données complémentaires'!$A$3:$D$73,4,0))*VLOOKUP($I41,$D$3:$G$74, 4,0)</f>
        <v>1656.30025642445</v>
      </c>
      <c r="O41" s="69" t="n">
        <f aca="false">MIN(VLOOKUP($I41,$D$3:$G$74,3,0), 'Grilles et calculs individuels'!H42*VLOOKUP($I41,'données complémentaires'!$A$3:$D$73,4,0))*VLOOKUP($I41,$D$3:$G$74, 4,0)</f>
        <v>1656.30025642445</v>
      </c>
      <c r="P41" s="69" t="n">
        <f aca="false">MIN(VLOOKUP($I41,$D$3:$G$74,3,0), 'Grilles et calculs individuels'!I42*VLOOKUP($I41,'données complémentaires'!$A$3:$D$73,4,0))*VLOOKUP($I41,$D$3:$G$74, 4,0)</f>
        <v>0</v>
      </c>
      <c r="Q41" s="69" t="n">
        <f aca="false">MIN(VLOOKUP($I41,$D$3:$G$74,3,0), 'Grilles et calculs individuels'!J42*VLOOKUP($I41,'données complémentaires'!$A$3:$D$73,4,0))*VLOOKUP($I41,$D$3:$G$74, 4,0)</f>
        <v>0</v>
      </c>
    </row>
    <row r="42" customFormat="false" ht="12.8" hidden="false" customHeight="false" outlineLevel="0" collapsed="false">
      <c r="C42" s="54" t="n">
        <v>40</v>
      </c>
      <c r="D42" s="54" t="n">
        <v>2001</v>
      </c>
      <c r="E42" s="54" t="n">
        <v>179400</v>
      </c>
      <c r="F42" s="76" t="n">
        <f aca="false">E42/(12*6.55957)</f>
        <v>2279.11280769929</v>
      </c>
      <c r="G42" s="77" t="n">
        <v>1.179</v>
      </c>
      <c r="H42" s="78"/>
      <c r="I42" s="54" t="n">
        <f aca="false">'Grilles et calculs individuels'!$K$74-C42</f>
        <v>1975</v>
      </c>
      <c r="J42" s="69" t="n">
        <f aca="false">MIN(VLOOKUP($I42,$D$3:$G$74,3,0), 'Grilles et calculs individuels'!C43*VLOOKUP($I42,'données complémentaires'!$A$3:$D$73,4,0))*VLOOKUP($I42,$D$3:$G$74, 4,0)</f>
        <v>1806.4648572131</v>
      </c>
      <c r="K42" s="69" t="n">
        <f aca="false">MIN(VLOOKUP($I42,$D$3:$G$74,3,0), 'Grilles et calculs individuels'!D43*VLOOKUP($I42,'données complémentaires'!$A$3:$D$73,4,0))*VLOOKUP($I42,$D$3:$G$74, 4,0)</f>
        <v>1879.0103619597</v>
      </c>
      <c r="L42" s="69" t="n">
        <f aca="false">MIN(VLOOKUP($I42,$D$3:$G$74,3,0), 'Grilles et calculs individuels'!E43*VLOOKUP($I42,'données complémentaires'!$A$3:$D$73,4,0))*VLOOKUP($I42,$D$3:$G$74, 4,0)</f>
        <v>1879.0103619597</v>
      </c>
      <c r="M42" s="69" t="n">
        <f aca="false">MIN(VLOOKUP($I42,$D$3:$G$74,3,0), 'Grilles et calculs individuels'!F43*VLOOKUP($I42,'données complémentaires'!$A$3:$D$73,4,0))*VLOOKUP($I42,$D$3:$G$74, 4,0)</f>
        <v>1879.0103619597</v>
      </c>
      <c r="N42" s="69" t="n">
        <f aca="false">MIN(VLOOKUP($I42,$D$3:$G$74,3,0), 'Grilles et calculs individuels'!G43*VLOOKUP($I42,'données complémentaires'!$A$3:$D$73,4,0))*VLOOKUP($I42,$D$3:$G$74, 4,0)</f>
        <v>1757.48585870365</v>
      </c>
      <c r="O42" s="69" t="n">
        <f aca="false">MIN(VLOOKUP($I42,$D$3:$G$74,3,0), 'Grilles et calculs individuels'!H43*VLOOKUP($I42,'données complémentaires'!$A$3:$D$73,4,0))*VLOOKUP($I42,$D$3:$G$74, 4,0)</f>
        <v>1757.48585870365</v>
      </c>
      <c r="P42" s="69" t="n">
        <f aca="false">MIN(VLOOKUP($I42,$D$3:$G$74,3,0), 'Grilles et calculs individuels'!I43*VLOOKUP($I42,'données complémentaires'!$A$3:$D$73,4,0))*VLOOKUP($I42,$D$3:$G$74, 4,0)</f>
        <v>0</v>
      </c>
      <c r="Q42" s="69" t="n">
        <f aca="false">MIN(VLOOKUP($I42,$D$3:$G$74,3,0), 'Grilles et calculs individuels'!J43*VLOOKUP($I42,'données complémentaires'!$A$3:$D$73,4,0))*VLOOKUP($I42,$D$3:$G$74, 4,0)</f>
        <v>0</v>
      </c>
    </row>
    <row r="43" customFormat="false" ht="12.8" hidden="false" customHeight="false" outlineLevel="0" collapsed="false">
      <c r="C43" s="54" t="n">
        <v>41</v>
      </c>
      <c r="D43" s="54" t="n">
        <v>2000</v>
      </c>
      <c r="E43" s="54" t="n">
        <v>176400</v>
      </c>
      <c r="F43" s="76" t="n">
        <f aca="false">E43/(12*6.55957)</f>
        <v>2241.00055338993</v>
      </c>
      <c r="G43" s="77" t="n">
        <v>1.203</v>
      </c>
      <c r="H43" s="78"/>
      <c r="I43" s="54" t="n">
        <f aca="false">'Grilles et calculs individuels'!$K$74-C43</f>
        <v>1974</v>
      </c>
      <c r="J43" s="69" t="n">
        <f aca="false">MIN(VLOOKUP($I43,$D$3:$G$74,3,0), 'Grilles et calculs individuels'!C44*VLOOKUP($I43,'données complémentaires'!$A$3:$D$73,4,0))*VLOOKUP($I43,$D$3:$G$74, 4,0)</f>
        <v>1883.35515895097</v>
      </c>
      <c r="K43" s="69" t="n">
        <f aca="false">MIN(VLOOKUP($I43,$D$3:$G$74,3,0), 'Grilles et calculs individuels'!D44*VLOOKUP($I43,'données complémentaires'!$A$3:$D$73,4,0))*VLOOKUP($I43,$D$3:$G$74, 4,0)</f>
        <v>1883.35515895097</v>
      </c>
      <c r="L43" s="69" t="n">
        <f aca="false">MIN(VLOOKUP($I43,$D$3:$G$74,3,0), 'Grilles et calculs individuels'!E44*VLOOKUP($I43,'données complémentaires'!$A$3:$D$73,4,0))*VLOOKUP($I43,$D$3:$G$74, 4,0)</f>
        <v>1883.35515895097</v>
      </c>
      <c r="M43" s="69" t="n">
        <f aca="false">MIN(VLOOKUP($I43,$D$3:$G$74,3,0), 'Grilles et calculs individuels'!F44*VLOOKUP($I43,'données complémentaires'!$A$3:$D$73,4,0))*VLOOKUP($I43,$D$3:$G$74, 4,0)</f>
        <v>1883.35515895097</v>
      </c>
      <c r="N43" s="69" t="n">
        <f aca="false">MIN(VLOOKUP($I43,$D$3:$G$74,3,0), 'Grilles et calculs individuels'!G44*VLOOKUP($I43,'données complémentaires'!$A$3:$D$73,4,0))*VLOOKUP($I43,$D$3:$G$74, 4,0)</f>
        <v>1838.44290048323</v>
      </c>
      <c r="O43" s="69" t="n">
        <f aca="false">MIN(VLOOKUP($I43,$D$3:$G$74,3,0), 'Grilles et calculs individuels'!H44*VLOOKUP($I43,'données complémentaires'!$A$3:$D$73,4,0))*VLOOKUP($I43,$D$3:$G$74, 4,0)</f>
        <v>1838.44290048323</v>
      </c>
      <c r="P43" s="69" t="n">
        <f aca="false">MIN(VLOOKUP($I43,$D$3:$G$74,3,0), 'Grilles et calculs individuels'!I44*VLOOKUP($I43,'données complémentaires'!$A$3:$D$73,4,0))*VLOOKUP($I43,$D$3:$G$74, 4,0)</f>
        <v>0</v>
      </c>
      <c r="Q43" s="69" t="n">
        <f aca="false">MIN(VLOOKUP($I43,$D$3:$G$74,3,0), 'Grilles et calculs individuels'!J44*VLOOKUP($I43,'données complémentaires'!$A$3:$D$73,4,0))*VLOOKUP($I43,$D$3:$G$74, 4,0)</f>
        <v>0</v>
      </c>
    </row>
    <row r="44" customFormat="false" ht="12.8" hidden="false" customHeight="false" outlineLevel="0" collapsed="false">
      <c r="C44" s="54" t="n">
        <v>42</v>
      </c>
      <c r="D44" s="54" t="n">
        <v>1999</v>
      </c>
      <c r="E44" s="54" t="n">
        <v>173640</v>
      </c>
      <c r="F44" s="76" t="n">
        <f aca="false">E44/(12*6.55957)</f>
        <v>2205.93727942533</v>
      </c>
      <c r="G44" s="77" t="n">
        <v>1.208</v>
      </c>
      <c r="H44" s="78"/>
      <c r="I44" s="54" t="n">
        <f aca="false">'Grilles et calculs individuels'!$K$74-C44</f>
        <v>1973</v>
      </c>
      <c r="J44" s="69" t="n">
        <f aca="false">MIN(VLOOKUP($I44,$D$3:$G$74,3,0), 'Grilles et calculs individuels'!C45*VLOOKUP($I44,'données complémentaires'!$A$3:$D$73,4,0))*VLOOKUP($I44,$D$3:$G$74, 4,0)</f>
        <v>1859.43310462386</v>
      </c>
      <c r="K44" s="69" t="n">
        <f aca="false">MIN(VLOOKUP($I44,$D$3:$G$74,3,0), 'Grilles et calculs individuels'!D45*VLOOKUP($I44,'données complémentaires'!$A$3:$D$73,4,0))*VLOOKUP($I44,$D$3:$G$74, 4,0)</f>
        <v>1878.10481479731</v>
      </c>
      <c r="L44" s="69" t="n">
        <f aca="false">MIN(VLOOKUP($I44,$D$3:$G$74,3,0), 'Grilles et calculs individuels'!E45*VLOOKUP($I44,'données complémentaires'!$A$3:$D$73,4,0))*VLOOKUP($I44,$D$3:$G$74, 4,0)</f>
        <v>1878.10481479731</v>
      </c>
      <c r="M44" s="69" t="n">
        <f aca="false">MIN(VLOOKUP($I44,$D$3:$G$74,3,0), 'Grilles et calculs individuels'!F45*VLOOKUP($I44,'données complémentaires'!$A$3:$D$73,4,0))*VLOOKUP($I44,$D$3:$G$74, 4,0)</f>
        <v>1878.10481479731</v>
      </c>
      <c r="N44" s="69" t="n">
        <f aca="false">MIN(VLOOKUP($I44,$D$3:$G$74,3,0), 'Grilles et calculs individuels'!G45*VLOOKUP($I44,'données complémentaires'!$A$3:$D$73,4,0))*VLOOKUP($I44,$D$3:$G$74, 4,0)</f>
        <v>1825.30503864616</v>
      </c>
      <c r="O44" s="69" t="n">
        <f aca="false">MIN(VLOOKUP($I44,$D$3:$G$74,3,0), 'Grilles et calculs individuels'!H45*VLOOKUP($I44,'données complémentaires'!$A$3:$D$73,4,0))*VLOOKUP($I44,$D$3:$G$74, 4,0)</f>
        <v>1825.30503864616</v>
      </c>
      <c r="P44" s="69" t="n">
        <f aca="false">MIN(VLOOKUP($I44,$D$3:$G$74,3,0), 'Grilles et calculs individuels'!I45*VLOOKUP($I44,'données complémentaires'!$A$3:$D$73,4,0))*VLOOKUP($I44,$D$3:$G$74, 4,0)</f>
        <v>0</v>
      </c>
      <c r="Q44" s="69" t="n">
        <f aca="false">MIN(VLOOKUP($I44,$D$3:$G$74,3,0), 'Grilles et calculs individuels'!J45*VLOOKUP($I44,'données complémentaires'!$A$3:$D$73,4,0))*VLOOKUP($I44,$D$3:$G$74, 4,0)</f>
        <v>0</v>
      </c>
    </row>
    <row r="45" customFormat="false" ht="12.8" hidden="false" customHeight="false" outlineLevel="0" collapsed="false">
      <c r="C45" s="54" t="n">
        <v>43</v>
      </c>
      <c r="D45" s="54" t="n">
        <v>1998</v>
      </c>
      <c r="E45" s="54" t="n">
        <v>169080</v>
      </c>
      <c r="F45" s="76" t="n">
        <f aca="false">E45/(12*6.55957)</f>
        <v>2148.00665287511</v>
      </c>
      <c r="G45" s="77" t="n">
        <v>1.222</v>
      </c>
      <c r="H45" s="78"/>
      <c r="I45" s="54" t="n">
        <f aca="false">'Grilles et calculs individuels'!$K$74-C45</f>
        <v>1972</v>
      </c>
      <c r="J45" s="69" t="n">
        <f aca="false">MIN(VLOOKUP($I45,$D$3:$G$74,3,0), 'Grilles et calculs individuels'!C46*VLOOKUP($I45,'données complémentaires'!$A$3:$D$73,4,0))*VLOOKUP($I45,$D$3:$G$74, 4,0)</f>
        <v>0</v>
      </c>
      <c r="K45" s="69" t="n">
        <f aca="false">MIN(VLOOKUP($I45,$D$3:$G$74,3,0), 'Grilles et calculs individuels'!D46*VLOOKUP($I45,'données complémentaires'!$A$3:$D$73,4,0))*VLOOKUP($I45,$D$3:$G$74, 4,0)</f>
        <v>1823.14541959305</v>
      </c>
      <c r="L45" s="69" t="n">
        <f aca="false">MIN(VLOOKUP($I45,$D$3:$G$74,3,0), 'Grilles et calculs individuels'!E46*VLOOKUP($I45,'données complémentaires'!$A$3:$D$73,4,0))*VLOOKUP($I45,$D$3:$G$74, 4,0)</f>
        <v>0</v>
      </c>
      <c r="M45" s="69" t="n">
        <f aca="false">MIN(VLOOKUP($I45,$D$3:$G$74,3,0), 'Grilles et calculs individuels'!F46*VLOOKUP($I45,'données complémentaires'!$A$3:$D$73,4,0))*VLOOKUP($I45,$D$3:$G$74, 4,0)</f>
        <v>0</v>
      </c>
      <c r="N45" s="69" t="n">
        <f aca="false">MIN(VLOOKUP($I45,$D$3:$G$74,3,0), 'Grilles et calculs individuels'!G46*VLOOKUP($I45,'données complémentaires'!$A$3:$D$73,4,0))*VLOOKUP($I45,$D$3:$G$74, 4,0)</f>
        <v>0</v>
      </c>
      <c r="O45" s="69" t="n">
        <f aca="false">MIN(VLOOKUP($I45,$D$3:$G$74,3,0), 'Grilles et calculs individuels'!H46*VLOOKUP($I45,'données complémentaires'!$A$3:$D$73,4,0))*VLOOKUP($I45,$D$3:$G$74, 4,0)</f>
        <v>0</v>
      </c>
      <c r="P45" s="69" t="n">
        <f aca="false">MIN(VLOOKUP($I45,$D$3:$G$74,3,0), 'Grilles et calculs individuels'!I46*VLOOKUP($I45,'données complémentaires'!$A$3:$D$73,4,0))*VLOOKUP($I45,$D$3:$G$74, 4,0)</f>
        <v>0</v>
      </c>
      <c r="Q45" s="69" t="n">
        <f aca="false">MIN(VLOOKUP($I45,$D$3:$G$74,3,0), 'Grilles et calculs individuels'!J46*VLOOKUP($I45,'données complémentaires'!$A$3:$D$73,4,0))*VLOOKUP($I45,$D$3:$G$74, 4,0)</f>
        <v>0</v>
      </c>
    </row>
    <row r="46" customFormat="false" ht="12.8" hidden="false" customHeight="false" outlineLevel="0" collapsed="false">
      <c r="C46" s="54" t="n">
        <v>44</v>
      </c>
      <c r="D46" s="54" t="n">
        <v>1997</v>
      </c>
      <c r="E46" s="54" t="n">
        <v>164640</v>
      </c>
      <c r="F46" s="76" t="n">
        <f aca="false">E46/(12*6.55957)</f>
        <v>2091.60051649727</v>
      </c>
      <c r="G46" s="77" t="n">
        <v>1.236</v>
      </c>
      <c r="H46" s="78"/>
      <c r="I46" s="2" t="s">
        <v>86</v>
      </c>
      <c r="J46" s="3" t="n">
        <f aca="false">AVERAGE(J3:J27)*MAX(0.5-((COUNTBLANK(J3:J44)-1)*4*0.00625), 0.375)</f>
        <v>1255.98806960398</v>
      </c>
      <c r="K46" s="3" t="n">
        <f aca="false">AVERAGE(K3:K27)*MAX(0.5-((COUNTBLANK(K3:K44)-1)*4*0.00625), 0.375)</f>
        <v>1434.71234062286</v>
      </c>
      <c r="L46" s="3" t="n">
        <f aca="false">AVERAGE(L3:L27)*MAX(0.5-((COUNTBLANK(L3:L44)-1)*4*0.00625), 0.375)</f>
        <v>1434.71234062286</v>
      </c>
      <c r="M46" s="3" t="n">
        <f aca="false">AVERAGE(M3:M27)*MAX(0.5-((COUNTBLANK(M3:M44)-1)*4*0.00625), 0.375)</f>
        <v>1432.14927991286</v>
      </c>
      <c r="N46" s="3" t="n">
        <f aca="false">AVERAGE(N3:N27)*MAX(0.5-((COUNTBLANK(N3:N44)-1)*4*0.00625), 0.375)</f>
        <v>1025.78214940147</v>
      </c>
      <c r="O46" s="3" t="n">
        <f aca="false">AVERAGE(O3:O27)*MAX(0.5-((COUNTBLANK(O3:O44)-1)*4*0.00625), 0.375)</f>
        <v>1025.78214940147</v>
      </c>
      <c r="P46" s="3" t="n">
        <f aca="false">AVERAGE(P3:P27)*MAX(0.5-((COUNTBLANK(P3:P44)-1)*4*0.00625), 0.375)</f>
        <v>997.683575988398</v>
      </c>
      <c r="Q46" s="3" t="n">
        <f aca="false">AVERAGE(Q3:Q27)*MAX(0.5-((COUNTBLANK(Q3:Q44)-1)*4*0.00625), 0.375)</f>
        <v>1432.14927991286</v>
      </c>
    </row>
    <row r="47" customFormat="false" ht="12.8" hidden="false" customHeight="false" outlineLevel="0" collapsed="false">
      <c r="C47" s="54" t="n">
        <v>45</v>
      </c>
      <c r="D47" s="54" t="n">
        <v>1996</v>
      </c>
      <c r="E47" s="54" t="n">
        <v>162480</v>
      </c>
      <c r="F47" s="54" t="n">
        <v>2048</v>
      </c>
      <c r="G47" s="77" t="n">
        <v>1.249</v>
      </c>
      <c r="H47" s="78"/>
      <c r="I47" s="2" t="s">
        <v>87</v>
      </c>
      <c r="J47" s="79"/>
      <c r="K47" s="79"/>
      <c r="L47" s="79"/>
      <c r="M47" s="79"/>
      <c r="N47" s="79"/>
      <c r="O47" s="79"/>
      <c r="P47" s="79"/>
      <c r="Q47" s="2"/>
    </row>
    <row r="48" customFormat="false" ht="12.8" hidden="false" customHeight="false" outlineLevel="0" collapsed="false">
      <c r="C48" s="54" t="n">
        <v>46</v>
      </c>
      <c r="D48" s="54" t="n">
        <v>1995</v>
      </c>
      <c r="E48" s="54" t="n">
        <v>156720</v>
      </c>
      <c r="F48" s="54" t="n">
        <v>1981</v>
      </c>
      <c r="G48" s="77" t="n">
        <v>1.281</v>
      </c>
      <c r="H48" s="78"/>
    </row>
    <row r="49" customFormat="false" ht="12.8" hidden="false" customHeight="false" outlineLevel="0" collapsed="false">
      <c r="C49" s="54" t="n">
        <v>47</v>
      </c>
      <c r="D49" s="54" t="n">
        <v>1994</v>
      </c>
      <c r="E49" s="54" t="n">
        <v>154080</v>
      </c>
      <c r="F49" s="54" t="n">
        <v>1945</v>
      </c>
      <c r="G49" s="77" t="n">
        <v>1.295</v>
      </c>
    </row>
    <row r="50" customFormat="false" ht="12.8" hidden="false" customHeight="false" outlineLevel="0" collapsed="false">
      <c r="C50" s="54" t="n">
        <v>48</v>
      </c>
      <c r="D50" s="54" t="n">
        <v>1993</v>
      </c>
      <c r="E50" s="54" t="n">
        <v>151320</v>
      </c>
      <c r="F50" s="54" t="n">
        <v>1904</v>
      </c>
      <c r="G50" s="77" t="n">
        <v>1.32</v>
      </c>
    </row>
    <row r="51" customFormat="false" ht="12.8" hidden="false" customHeight="false" outlineLevel="0" collapsed="false">
      <c r="C51" s="54" t="n">
        <v>49</v>
      </c>
      <c r="D51" s="54" t="n">
        <v>1992</v>
      </c>
      <c r="E51" s="54" t="n">
        <v>145800</v>
      </c>
      <c r="F51" s="54" t="n">
        <v>1831</v>
      </c>
      <c r="G51" s="77" t="n">
        <v>1.32</v>
      </c>
    </row>
    <row r="52" customFormat="false" ht="12.8" hidden="false" customHeight="false" outlineLevel="0" collapsed="false">
      <c r="C52" s="54" t="n">
        <v>50</v>
      </c>
      <c r="D52" s="54" t="n">
        <v>1991</v>
      </c>
      <c r="E52" s="54" t="n">
        <v>139440</v>
      </c>
      <c r="F52" s="54" t="n">
        <v>1751</v>
      </c>
      <c r="G52" s="77" t="n">
        <v>1.362</v>
      </c>
    </row>
    <row r="53" customFormat="false" ht="12.8" hidden="false" customHeight="false" outlineLevel="0" collapsed="false">
      <c r="C53" s="54" t="n">
        <v>51</v>
      </c>
      <c r="D53" s="54" t="n">
        <v>1990</v>
      </c>
      <c r="E53" s="54" t="n">
        <v>132480</v>
      </c>
      <c r="F53" s="54" t="n">
        <v>1665</v>
      </c>
      <c r="G53" s="77" t="n">
        <v>1.384</v>
      </c>
    </row>
    <row r="54" customFormat="false" ht="12.8" hidden="false" customHeight="false" outlineLevel="0" collapsed="false">
      <c r="C54" s="54" t="n">
        <v>52</v>
      </c>
      <c r="D54" s="54" t="n">
        <v>1989</v>
      </c>
      <c r="E54" s="54" t="n">
        <v>126480</v>
      </c>
      <c r="F54" s="54" t="n">
        <v>1592</v>
      </c>
      <c r="G54" s="77" t="n">
        <v>1.423</v>
      </c>
    </row>
    <row r="55" customFormat="false" ht="12.8" hidden="false" customHeight="false" outlineLevel="0" collapsed="false">
      <c r="C55" s="54" t="n">
        <v>53</v>
      </c>
      <c r="D55" s="54" t="n">
        <v>1988</v>
      </c>
      <c r="E55" s="54" t="n">
        <v>121320</v>
      </c>
      <c r="F55" s="54" t="n">
        <v>1529</v>
      </c>
      <c r="G55" s="77" t="n">
        <v>1.475</v>
      </c>
    </row>
    <row r="56" customFormat="false" ht="12.8" hidden="false" customHeight="false" outlineLevel="0" collapsed="false">
      <c r="C56" s="54" t="n">
        <v>54</v>
      </c>
      <c r="D56" s="54" t="n">
        <v>1987</v>
      </c>
      <c r="E56" s="54" t="n">
        <v>118080</v>
      </c>
      <c r="F56" s="54" t="n">
        <v>1484</v>
      </c>
      <c r="G56" s="77" t="n">
        <v>1.51</v>
      </c>
    </row>
    <row r="57" customFormat="false" ht="12.8" hidden="false" customHeight="false" outlineLevel="0" collapsed="false">
      <c r="C57" s="54" t="n">
        <v>55</v>
      </c>
      <c r="D57" s="54" t="n">
        <v>1986</v>
      </c>
      <c r="E57" s="54" t="n">
        <v>113760</v>
      </c>
      <c r="F57" s="54" t="n">
        <v>1425</v>
      </c>
      <c r="G57" s="77" t="n">
        <v>1.568</v>
      </c>
    </row>
    <row r="58" customFormat="false" ht="12.8" hidden="false" customHeight="false" outlineLevel="0" collapsed="false">
      <c r="C58" s="54" t="n">
        <v>56</v>
      </c>
      <c r="D58" s="54" t="n">
        <v>1985</v>
      </c>
      <c r="E58" s="54" t="n">
        <v>108720</v>
      </c>
      <c r="F58" s="54" t="n">
        <v>1353</v>
      </c>
      <c r="G58" s="77" t="n">
        <v>1.603</v>
      </c>
    </row>
    <row r="59" customFormat="false" ht="12.8" hidden="false" customHeight="false" outlineLevel="0" collapsed="false">
      <c r="C59" s="54" t="n">
        <v>57</v>
      </c>
      <c r="D59" s="54" t="n">
        <v>1984</v>
      </c>
      <c r="E59" s="54" t="n">
        <v>101880</v>
      </c>
      <c r="F59" s="54" t="n">
        <v>1265</v>
      </c>
      <c r="G59" s="77" t="n">
        <v>1.672</v>
      </c>
    </row>
    <row r="60" customFormat="false" ht="12.8" hidden="false" customHeight="false" outlineLevel="0" collapsed="false">
      <c r="C60" s="54" t="n">
        <v>58</v>
      </c>
      <c r="D60" s="54" t="n">
        <v>1983</v>
      </c>
      <c r="E60" s="54" t="n">
        <v>94440</v>
      </c>
      <c r="F60" s="54" t="n">
        <v>1165</v>
      </c>
      <c r="G60" s="77" t="n">
        <v>1.764</v>
      </c>
    </row>
    <row r="61" customFormat="false" ht="12.8" hidden="false" customHeight="false" outlineLevel="0" collapsed="false">
      <c r="C61" s="54" t="n">
        <v>59</v>
      </c>
      <c r="D61" s="54" t="n">
        <v>1982</v>
      </c>
      <c r="E61" s="54" t="n">
        <v>84960</v>
      </c>
      <c r="F61" s="54" t="n">
        <v>1042</v>
      </c>
      <c r="G61" s="77" t="n">
        <v>1.87</v>
      </c>
    </row>
    <row r="62" customFormat="false" ht="12.8" hidden="false" customHeight="false" outlineLevel="0" collapsed="false">
      <c r="C62" s="54" t="n">
        <v>60</v>
      </c>
      <c r="D62" s="54" t="n">
        <v>1981</v>
      </c>
      <c r="E62" s="54" t="n">
        <v>68760</v>
      </c>
      <c r="F62" s="76" t="n">
        <f aca="false">E62/(12*6.55957)</f>
        <v>873.532868770362</v>
      </c>
      <c r="G62" s="77" t="n">
        <v>2.094</v>
      </c>
    </row>
    <row r="63" customFormat="false" ht="12.8" hidden="false" customHeight="false" outlineLevel="0" collapsed="false">
      <c r="C63" s="54" t="n">
        <v>61</v>
      </c>
      <c r="D63" s="54" t="n">
        <v>1980</v>
      </c>
      <c r="E63" s="54" t="n">
        <v>60120</v>
      </c>
      <c r="F63" s="76" t="n">
        <f aca="false">E63/(12*6.55957)</f>
        <v>763.769576359426</v>
      </c>
      <c r="G63" s="77" t="n">
        <v>2.371</v>
      </c>
    </row>
    <row r="64" customFormat="false" ht="12.8" hidden="false" customHeight="false" outlineLevel="0" collapsed="false">
      <c r="C64" s="54" t="n">
        <v>62</v>
      </c>
      <c r="D64" s="54" t="n">
        <v>1979</v>
      </c>
      <c r="E64" s="54" t="n">
        <v>53640</v>
      </c>
      <c r="F64" s="76" t="n">
        <f aca="false">E64/(12*6.55957)</f>
        <v>681.447107051224</v>
      </c>
      <c r="G64" s="77" t="n">
        <v>2.697</v>
      </c>
    </row>
    <row r="65" customFormat="false" ht="12.8" hidden="false" customHeight="false" outlineLevel="0" collapsed="false">
      <c r="C65" s="54" t="n">
        <v>63</v>
      </c>
      <c r="D65" s="54" t="n">
        <v>1978</v>
      </c>
      <c r="E65" s="54" t="n">
        <v>48000</v>
      </c>
      <c r="F65" s="76" t="n">
        <f aca="false">E65/(12*6.55957)</f>
        <v>609.796068949642</v>
      </c>
      <c r="G65" s="77" t="n">
        <v>2.955</v>
      </c>
    </row>
    <row r="66" customFormat="false" ht="12.8" hidden="false" customHeight="false" outlineLevel="0" collapsed="false">
      <c r="C66" s="54" t="n">
        <v>64</v>
      </c>
      <c r="D66" s="54" t="n">
        <v>1977</v>
      </c>
      <c r="E66" s="54" t="n">
        <v>43320</v>
      </c>
      <c r="F66" s="76" t="n">
        <f aca="false">E66/(12*6.55957)</f>
        <v>550.340952227052</v>
      </c>
      <c r="G66" s="77" t="n">
        <v>3.286</v>
      </c>
    </row>
    <row r="67" customFormat="false" ht="12.8" hidden="false" customHeight="false" outlineLevel="0" collapsed="false">
      <c r="C67" s="54" t="n">
        <v>65</v>
      </c>
      <c r="D67" s="54" t="n">
        <v>1976</v>
      </c>
      <c r="E67" s="54" t="n">
        <v>37920</v>
      </c>
      <c r="F67" s="76" t="n">
        <f aca="false">E67/(12*6.55957)</f>
        <v>481.738894470217</v>
      </c>
      <c r="G67" s="77" t="n">
        <v>3.81</v>
      </c>
    </row>
    <row r="68" customFormat="false" ht="12.8" hidden="false" customHeight="false" outlineLevel="0" collapsed="false">
      <c r="C68" s="54" t="n">
        <v>66</v>
      </c>
      <c r="D68" s="54" t="n">
        <v>1975</v>
      </c>
      <c r="E68" s="54" t="n">
        <v>33000</v>
      </c>
      <c r="F68" s="76" t="n">
        <f aca="false">E68/(12*6.55957)</f>
        <v>419.234797402879</v>
      </c>
      <c r="G68" s="77" t="n">
        <v>4.482</v>
      </c>
    </row>
    <row r="69" customFormat="false" ht="12.8" hidden="false" customHeight="false" outlineLevel="0" collapsed="false">
      <c r="C69" s="54" t="n">
        <v>67</v>
      </c>
      <c r="D69" s="54" t="n">
        <v>1974</v>
      </c>
      <c r="E69" s="54" t="n">
        <v>27840</v>
      </c>
      <c r="F69" s="76" t="n">
        <f aca="false">E69/(12*6.55957)</f>
        <v>353.681719990792</v>
      </c>
      <c r="G69" s="77" t="n">
        <v>5.325</v>
      </c>
    </row>
    <row r="70" customFormat="false" ht="12.8" hidden="false" customHeight="false" outlineLevel="0" collapsed="false">
      <c r="C70" s="54" t="n">
        <v>68</v>
      </c>
      <c r="D70" s="54" t="n">
        <v>1973</v>
      </c>
      <c r="E70" s="54" t="n">
        <v>24480</v>
      </c>
      <c r="F70" s="76" t="n">
        <f aca="false">E70/(12*6.55957)</f>
        <v>310.995995164317</v>
      </c>
      <c r="G70" s="77" t="n">
        <v>6.039</v>
      </c>
    </row>
    <row r="71" customFormat="false" ht="12.8" hidden="false" customHeight="false" outlineLevel="0" collapsed="false">
      <c r="C71" s="54" t="n">
        <v>69</v>
      </c>
      <c r="D71" s="54" t="n">
        <v>1972</v>
      </c>
      <c r="E71" s="54" t="n">
        <v>21960</v>
      </c>
      <c r="F71" s="76" t="n">
        <f aca="false">E71/(12*6.55957)</f>
        <v>278.981701544461</v>
      </c>
      <c r="G71" s="77" t="n">
        <v>6.535</v>
      </c>
    </row>
    <row r="72" customFormat="false" ht="12.8" hidden="false" customHeight="false" outlineLevel="0" collapsed="false">
      <c r="C72" s="54" t="n">
        <v>70</v>
      </c>
      <c r="D72" s="54" t="n">
        <v>1971</v>
      </c>
      <c r="E72" s="54" t="n">
        <v>19800</v>
      </c>
      <c r="F72" s="76" t="n">
        <f aca="false">E72/(12*6.55957)</f>
        <v>251.540878441727</v>
      </c>
      <c r="G72" s="77" t="n">
        <v>7.252</v>
      </c>
    </row>
    <row r="73" customFormat="false" ht="12.8" hidden="false" customHeight="false" outlineLevel="0" collapsed="false">
      <c r="C73" s="54" t="n">
        <v>71</v>
      </c>
      <c r="D73" s="54" t="n">
        <v>1970</v>
      </c>
      <c r="E73" s="54" t="n">
        <v>18000</v>
      </c>
      <c r="F73" s="76" t="n">
        <f aca="false">E73/(12*6.55957)</f>
        <v>228.673525856116</v>
      </c>
      <c r="G73" s="77" t="n">
        <v>8.085</v>
      </c>
    </row>
    <row r="74" customFormat="false" ht="12.8" hidden="false" customHeight="false" outlineLevel="0" collapsed="false">
      <c r="C74" s="80" t="n">
        <v>72</v>
      </c>
      <c r="D74" s="80" t="n">
        <v>1969</v>
      </c>
      <c r="E74" s="80" t="n">
        <v>16320</v>
      </c>
      <c r="F74" s="81" t="n">
        <f aca="false">E74/(12*6.55957)</f>
        <v>207.330663442878</v>
      </c>
      <c r="G74" s="82" t="n">
        <v>8.899</v>
      </c>
    </row>
  </sheetData>
  <sheetProtection sheet="true" password="9cd6" objects="true" scenarios="true"/>
  <mergeCells count="1">
    <mergeCell ref="C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9"/>
  <sheetViews>
    <sheetView windowProtection="false" showFormulas="false" showGridLines="true" showRowColHeaders="true" showZeros="true" rightToLeft="false" tabSelected="false" showOutlineSymbols="true" defaultGridColor="true" view="normal" topLeftCell="N1" colorId="64" zoomScale="100" zoomScaleNormal="100" zoomScalePageLayoutView="100" workbookViewId="0">
      <selection pane="topLeft" activeCell="AC45" activeCellId="0" sqref="AC45"/>
    </sheetView>
  </sheetViews>
  <sheetFormatPr defaultRowHeight="12.85"/>
  <cols>
    <col collapsed="false" hidden="false" max="1" min="1" style="0" width="11.5204081632653"/>
    <col collapsed="false" hidden="false" max="2" min="2" style="56" width="22.3112244897959"/>
    <col collapsed="false" hidden="false" max="3" min="3" style="0" width="18.0816326530612"/>
    <col collapsed="false" hidden="false" max="4" min="4" style="0" width="15.3979591836735"/>
    <col collapsed="false" hidden="false" max="5" min="5" style="0" width="16.6683673469388"/>
    <col collapsed="false" hidden="false" max="6" min="6" style="0" width="11.5204081632653"/>
    <col collapsed="false" hidden="false" max="7" min="7" style="78" width="22.5969387755102"/>
    <col collapsed="false" hidden="false" max="8" min="8" style="78" width="15.3724489795918"/>
    <col collapsed="false" hidden="false" max="13" min="9" style="78" width="11.5204081632653"/>
    <col collapsed="false" hidden="false" max="14" min="14" style="0" width="31.3367346938776"/>
    <col collapsed="false" hidden="false" max="1025" min="15" style="0" width="11.5204081632653"/>
  </cols>
  <sheetData>
    <row r="1" customFormat="false" ht="12.8" hidden="false" customHeight="false" outlineLevel="0" collapsed="false">
      <c r="B1" s="0"/>
      <c r="G1" s="0" t="s">
        <v>88</v>
      </c>
      <c r="H1" s="0"/>
      <c r="I1" s="0"/>
      <c r="J1" s="4"/>
      <c r="K1" s="0" t="s">
        <v>89</v>
      </c>
      <c r="L1" s="0" t="n">
        <v>1.2513</v>
      </c>
      <c r="M1" s="0"/>
    </row>
    <row r="2" customFormat="false" ht="13.4" hidden="false" customHeight="false" outlineLevel="0" collapsed="false">
      <c r="B2" s="56" t="s">
        <v>90</v>
      </c>
      <c r="C2" s="0" t="s">
        <v>46</v>
      </c>
      <c r="D2" s="83" t="s">
        <v>91</v>
      </c>
      <c r="E2" s="0" t="s">
        <v>92</v>
      </c>
      <c r="G2" s="84" t="s">
        <v>65</v>
      </c>
      <c r="H2" s="85" t="s">
        <v>3</v>
      </c>
      <c r="I2" s="85" t="s">
        <v>66</v>
      </c>
      <c r="J2" s="85" t="s">
        <v>5</v>
      </c>
      <c r="K2" s="85" t="s">
        <v>6</v>
      </c>
      <c r="L2" s="85" t="s">
        <v>67</v>
      </c>
      <c r="M2" s="85" t="s">
        <v>68</v>
      </c>
      <c r="N2" s="85" t="s">
        <v>69</v>
      </c>
      <c r="O2" s="84" t="s">
        <v>10</v>
      </c>
    </row>
    <row r="3" customFormat="false" ht="12.8" hidden="false" customHeight="false" outlineLevel="0" collapsed="false">
      <c r="A3" s="0" t="n">
        <v>2040</v>
      </c>
      <c r="B3" s="56" t="n">
        <v>15.2589</v>
      </c>
      <c r="C3" s="4" t="n">
        <f aca="false">(B3-B4)/B4</f>
        <v>0</v>
      </c>
      <c r="D3" s="4" t="n">
        <f aca="false">0.061-'données complémentaires'!L3</f>
        <v>0.061</v>
      </c>
      <c r="E3" s="86" t="n">
        <f aca="false">0.16344-'données complémentaires'!L3</f>
        <v>0.16344</v>
      </c>
      <c r="G3" s="54" t="n">
        <f aca="false">'calculs agirc'!H3</f>
        <v>2014</v>
      </c>
      <c r="H3" s="76" t="n">
        <f aca="false">MIN(VLOOKUP($G3,'plafond sécu et CNAV'!$D$3:$F$74,3,0), 'Grilles et calculs individuels'!C4*VLOOKUP($G3,'données complémentaires'!$A$3:$D$73,4,0))*VLOOKUP($G3,$A$3:$E$73,4,0)/VLOOKUP($G3,$A$3:$E$73,2,0)</f>
        <v>6.78237880843311</v>
      </c>
      <c r="I3" s="76" t="n">
        <f aca="false">MIN(VLOOKUP($G3,'plafond sécu et CNAV'!$D$3:$F$74,3,0), 'Grilles et calculs individuels'!D4*VLOOKUP($G3,'données complémentaires'!$A$3:$D$73,4,0))*VLOOKUP($G3,$A$3:$E$73,4,0)/VLOOKUP($G3,$A$3:$E$73,2,0)</f>
        <v>8.89963234571299</v>
      </c>
      <c r="J3" s="76" t="n">
        <f aca="false">MIN(VLOOKUP($G3,'plafond sécu et CNAV'!$D$3:$F$74,3,0), 'Grilles et calculs individuels'!E4*VLOOKUP($G3,'données complémentaires'!$A$3:$D$73,4,0))*VLOOKUP($G3,$A$3:$E$73,4,0)/VLOOKUP($G3,$A$3:$E$73,2,0)</f>
        <v>8.89963234571299</v>
      </c>
      <c r="K3" s="76" t="n">
        <f aca="false">MIN(VLOOKUP($G3,'plafond sécu et CNAV'!$D$3:$F$74,3,0), 'Grilles et calculs individuels'!F4*VLOOKUP($G3,'données complémentaires'!$A$3:$D$73,4,0))*VLOOKUP($G3,$A$3:$E$73,4,0)/VLOOKUP($G3,$A$3:$E$73,2,0)</f>
        <v>8.66563657930782</v>
      </c>
      <c r="L3" s="76" t="n">
        <f aca="false">MIN(VLOOKUP($G3,'plafond sécu et CNAV'!$D$3:$F$74,3,0), 'Grilles et calculs individuels'!G4*VLOOKUP($G3,'données complémentaires'!$A$3:$D$73,4,0))*VLOOKUP($G3,$A$3:$E$73,4,0)/VLOOKUP($G3,$A$3:$E$73,2,0)</f>
        <v>5.29421465505377</v>
      </c>
      <c r="M3" s="76" t="n">
        <f aca="false">MIN(VLOOKUP($G3,'plafond sécu et CNAV'!$D$3:$F$74,3,0), 'Grilles et calculs individuels'!H4*VLOOKUP($G3,'données complémentaires'!$A$3:$D$73,4,0))*VLOOKUP($G3,$A$3:$E$73,4,0)/VLOOKUP($G3,$A$3:$E$73,2,0)</f>
        <v>5.29421465505377</v>
      </c>
      <c r="N3" s="76" t="n">
        <f aca="false">MIN(VLOOKUP($G3,'plafond sécu et CNAV'!$D$3:$F$74,3,0), 'Grilles et calculs individuels'!I4*VLOOKUP($G3,'données complémentaires'!$A$3:$D$73,4,0))*VLOOKUP($G3,$A$3:$E$73,4,0)/VLOOKUP($G3,$A$3:$E$73,2,0)</f>
        <v>5.29421465505377</v>
      </c>
      <c r="O3" s="76" t="n">
        <f aca="false">MIN(VLOOKUP($G3,'plafond sécu et CNAV'!$D$3:$F$74,3,0), 'Grilles et calculs individuels'!J4*VLOOKUP($G3,'données complémentaires'!$A$3:$D$73,4,0))*VLOOKUP($G3,$A$3:$E$73,4,0)/VLOOKUP($G3,$A$3:$E$73,2,0)</f>
        <v>8.66563657930782</v>
      </c>
      <c r="P3" s="76"/>
      <c r="T3" s="87"/>
    </row>
    <row r="4" customFormat="false" ht="12.8" hidden="false" customHeight="false" outlineLevel="0" collapsed="false">
      <c r="A4" s="0" t="n">
        <v>2039</v>
      </c>
      <c r="B4" s="56" t="n">
        <v>15.2589</v>
      </c>
      <c r="C4" s="4" t="n">
        <f aca="false">(B4-B5)/B5</f>
        <v>0</v>
      </c>
      <c r="D4" s="4" t="n">
        <f aca="false">0.061-'données complémentaires'!L4</f>
        <v>0.061</v>
      </c>
      <c r="E4" s="86" t="n">
        <f aca="false">0.16344-'données complémentaires'!L4</f>
        <v>0.16344</v>
      </c>
      <c r="G4" s="54" t="n">
        <f aca="false">'calculs agirc'!H4</f>
        <v>2013</v>
      </c>
      <c r="H4" s="76" t="n">
        <f aca="false">MIN(VLOOKUP($G4,'plafond sécu et CNAV'!$D$3:$F$74,3,0), 'Grilles et calculs individuels'!C5*VLOOKUP($G4,'données complémentaires'!$A$3:$D$73,4,0))*VLOOKUP($G4,$A$3:$E$73,4,0)/VLOOKUP($G4,$A$3:$E$73,2,0)</f>
        <v>6.59239710015497</v>
      </c>
      <c r="I4" s="76" t="n">
        <f aca="false">MIN(VLOOKUP($G4,'plafond sécu et CNAV'!$D$3:$F$74,3,0), 'Grilles et calculs individuels'!D5*VLOOKUP($G4,'données complémentaires'!$A$3:$D$73,4,0))*VLOOKUP($G4,$A$3:$E$73,4,0)/VLOOKUP($G4,$A$3:$E$73,2,0)</f>
        <v>8.53146752121037</v>
      </c>
      <c r="J4" s="76" t="n">
        <f aca="false">MIN(VLOOKUP($G4,'plafond sécu et CNAV'!$D$3:$F$74,3,0), 'Grilles et calculs individuels'!E5*VLOOKUP($G4,'données complémentaires'!$A$3:$D$73,4,0))*VLOOKUP($G4,$A$3:$E$73,4,0)/VLOOKUP($G4,$A$3:$E$73,2,0)</f>
        <v>8.53146752121037</v>
      </c>
      <c r="K4" s="76" t="n">
        <f aca="false">MIN(VLOOKUP($G4,'plafond sécu et CNAV'!$D$3:$F$74,3,0), 'Grilles et calculs individuels'!F5*VLOOKUP($G4,'données complémentaires'!$A$3:$D$73,4,0))*VLOOKUP($G4,$A$3:$E$73,4,0)/VLOOKUP($G4,$A$3:$E$73,2,0)</f>
        <v>8.42290280003152</v>
      </c>
      <c r="L4" s="76" t="n">
        <f aca="false">MIN(VLOOKUP($G4,'plafond sécu et CNAV'!$D$3:$F$74,3,0), 'Grilles et calculs individuels'!G5*VLOOKUP($G4,'données complémentaires'!$A$3:$D$73,4,0))*VLOOKUP($G4,$A$3:$E$73,4,0)/VLOOKUP($G4,$A$3:$E$73,2,0)</f>
        <v>5.14591802159124</v>
      </c>
      <c r="M4" s="76" t="n">
        <f aca="false">MIN(VLOOKUP($G4,'plafond sécu et CNAV'!$D$3:$F$74,3,0), 'Grilles et calculs individuels'!H5*VLOOKUP($G4,'données complémentaires'!$A$3:$D$73,4,0))*VLOOKUP($G4,$A$3:$E$73,4,0)/VLOOKUP($G4,$A$3:$E$73,2,0)</f>
        <v>5.14591802159124</v>
      </c>
      <c r="N4" s="76" t="n">
        <f aca="false">MIN(VLOOKUP($G4,'plafond sécu et CNAV'!$D$3:$F$74,3,0), 'Grilles et calculs individuels'!I5*VLOOKUP($G4,'données complémentaires'!$A$3:$D$73,4,0))*VLOOKUP($G4,$A$3:$E$73,4,0)/VLOOKUP($G4,$A$3:$E$73,2,0)</f>
        <v>5.14591802159124</v>
      </c>
      <c r="O4" s="76" t="n">
        <f aca="false">MIN(VLOOKUP($G4,'plafond sécu et CNAV'!$D$3:$F$74,3,0), 'Grilles et calculs individuels'!J5*VLOOKUP($G4,'données complémentaires'!$A$3:$D$73,4,0))*VLOOKUP($G4,$A$3:$E$73,4,0)/VLOOKUP($G4,$A$3:$E$73,2,0)</f>
        <v>8.42290280003152</v>
      </c>
    </row>
    <row r="5" customFormat="false" ht="12.8" hidden="false" customHeight="false" outlineLevel="0" collapsed="false">
      <c r="A5" s="0" t="n">
        <v>2038</v>
      </c>
      <c r="B5" s="56" t="n">
        <v>15.2589</v>
      </c>
      <c r="C5" s="4" t="n">
        <f aca="false">(B5-B6)/B6</f>
        <v>0</v>
      </c>
      <c r="D5" s="4" t="n">
        <f aca="false">0.061-'données complémentaires'!L5</f>
        <v>0.061</v>
      </c>
      <c r="E5" s="86" t="n">
        <f aca="false">0.16344-'données complémentaires'!L5</f>
        <v>0.16344</v>
      </c>
      <c r="G5" s="54" t="n">
        <f aca="false">'calculs agirc'!H5</f>
        <v>2012</v>
      </c>
      <c r="H5" s="76" t="n">
        <f aca="false">MIN(VLOOKUP($G5,'plafond sécu et CNAV'!$D$3:$F$74,3,0), 'Grilles et calculs individuels'!C6*VLOOKUP($G5,'données complémentaires'!$A$3:$D$73,4,0))*VLOOKUP($G5,$A$3:$E$73,4,0)/VLOOKUP($G5,$A$3:$E$73,2,0)</f>
        <v>6.24157897534013</v>
      </c>
      <c r="I5" s="76" t="n">
        <f aca="false">MIN(VLOOKUP($G5,'plafond sécu et CNAV'!$D$3:$F$74,3,0), 'Grilles et calculs individuels'!D6*VLOOKUP($G5,'données complémentaires'!$A$3:$D$73,4,0))*VLOOKUP($G5,$A$3:$E$73,4,0)/VLOOKUP($G5,$A$3:$E$73,2,0)</f>
        <v>7.93350074404762</v>
      </c>
      <c r="J5" s="76" t="n">
        <f aca="false">MIN(VLOOKUP($G5,'plafond sécu et CNAV'!$D$3:$F$74,3,0), 'Grilles et calculs individuels'!E6*VLOOKUP($G5,'données complémentaires'!$A$3:$D$73,4,0))*VLOOKUP($G5,$A$3:$E$73,4,0)/VLOOKUP($G5,$A$3:$E$73,2,0)</f>
        <v>7.93350074404762</v>
      </c>
      <c r="K5" s="76" t="n">
        <f aca="false">MIN(VLOOKUP($G5,'plafond sécu et CNAV'!$D$3:$F$74,3,0), 'Grilles et calculs individuels'!F6*VLOOKUP($G5,'données complémentaires'!$A$3:$D$73,4,0))*VLOOKUP($G5,$A$3:$E$73,4,0)/VLOOKUP($G5,$A$3:$E$73,2,0)</f>
        <v>7.93350074404762</v>
      </c>
      <c r="L5" s="76" t="n">
        <f aca="false">MIN(VLOOKUP($G5,'plafond sécu et CNAV'!$D$3:$F$74,3,0), 'Grilles et calculs individuels'!G6*VLOOKUP($G5,'données complémentaires'!$A$3:$D$73,4,0))*VLOOKUP($G5,$A$3:$E$73,4,0)/VLOOKUP($G5,$A$3:$E$73,2,0)</f>
        <v>4.87207509566326</v>
      </c>
      <c r="M5" s="76" t="n">
        <f aca="false">MIN(VLOOKUP($G5,'plafond sécu et CNAV'!$D$3:$F$74,3,0), 'Grilles et calculs individuels'!H6*VLOOKUP($G5,'données complémentaires'!$A$3:$D$73,4,0))*VLOOKUP($G5,$A$3:$E$73,4,0)/VLOOKUP($G5,$A$3:$E$73,2,0)</f>
        <v>4.87207509566326</v>
      </c>
      <c r="N5" s="76" t="n">
        <f aca="false">MIN(VLOOKUP($G5,'plafond sécu et CNAV'!$D$3:$F$74,3,0), 'Grilles et calculs individuels'!I6*VLOOKUP($G5,'données complémentaires'!$A$3:$D$73,4,0))*VLOOKUP($G5,$A$3:$E$73,4,0)/VLOOKUP($G5,$A$3:$E$73,2,0)</f>
        <v>4.87207509566326</v>
      </c>
      <c r="O5" s="76" t="n">
        <f aca="false">MIN(VLOOKUP($G5,'plafond sécu et CNAV'!$D$3:$F$74,3,0), 'Grilles et calculs individuels'!J6*VLOOKUP($G5,'données complémentaires'!$A$3:$D$73,4,0))*VLOOKUP($G5,$A$3:$E$73,4,0)/VLOOKUP($G5,$A$3:$E$73,2,0)</f>
        <v>7.93350074404762</v>
      </c>
    </row>
    <row r="6" customFormat="false" ht="12.8" hidden="false" customHeight="false" outlineLevel="0" collapsed="false">
      <c r="A6" s="0" t="n">
        <v>2037</v>
      </c>
      <c r="B6" s="56" t="n">
        <v>15.2589</v>
      </c>
      <c r="C6" s="4" t="n">
        <f aca="false">(B6-B7)/B7</f>
        <v>0</v>
      </c>
      <c r="D6" s="4" t="n">
        <f aca="false">0.061-'données complémentaires'!L6</f>
        <v>0.061</v>
      </c>
      <c r="E6" s="86" t="n">
        <f aca="false">0.16344-'données complémentaires'!L6</f>
        <v>0.16344</v>
      </c>
      <c r="G6" s="54" t="n">
        <f aca="false">'calculs agirc'!H6</f>
        <v>2011</v>
      </c>
      <c r="H6" s="76" t="n">
        <f aca="false">MIN(VLOOKUP($G6,'plafond sécu et CNAV'!$D$3:$F$74,3,0), 'Grilles et calculs individuels'!C7*VLOOKUP($G6,'données complémentaires'!$A$3:$D$73,4,0))*VLOOKUP($G6,$A$3:$E$73,4,0)/VLOOKUP($G6,$A$3:$E$73,2,0)</f>
        <v>5.7502785023367</v>
      </c>
      <c r="I6" s="76" t="n">
        <f aca="false">MIN(VLOOKUP($G6,'plafond sécu et CNAV'!$D$3:$F$74,3,0), 'Grilles et calculs individuels'!D7*VLOOKUP($G6,'données complémentaires'!$A$3:$D$73,4,0))*VLOOKUP($G6,$A$3:$E$73,4,0)/VLOOKUP($G6,$A$3:$E$73,2,0)</f>
        <v>7.10405119008803</v>
      </c>
      <c r="J6" s="76" t="n">
        <f aca="false">MIN(VLOOKUP($G6,'plafond sécu et CNAV'!$D$3:$F$74,3,0), 'Grilles et calculs individuels'!E7*VLOOKUP($G6,'données complémentaires'!$A$3:$D$73,4,0))*VLOOKUP($G6,$A$3:$E$73,4,0)/VLOOKUP($G6,$A$3:$E$73,2,0)</f>
        <v>7.10405119008803</v>
      </c>
      <c r="K6" s="76" t="n">
        <f aca="false">MIN(VLOOKUP($G6,'plafond sécu et CNAV'!$D$3:$F$74,3,0), 'Grilles et calculs individuels'!F7*VLOOKUP($G6,'données complémentaires'!$A$3:$D$73,4,0))*VLOOKUP($G6,$A$3:$E$73,4,0)/VLOOKUP($G6,$A$3:$E$73,2,0)</f>
        <v>7.10405119008803</v>
      </c>
      <c r="L6" s="76" t="n">
        <f aca="false">MIN(VLOOKUP($G6,'plafond sécu et CNAV'!$D$3:$F$74,3,0), 'Grilles et calculs individuels'!G7*VLOOKUP($G6,'données complémentaires'!$A$3:$D$73,4,0))*VLOOKUP($G6,$A$3:$E$73,4,0)/VLOOKUP($G6,$A$3:$E$73,2,0)</f>
        <v>4.48857393218128</v>
      </c>
      <c r="M6" s="76" t="n">
        <f aca="false">MIN(VLOOKUP($G6,'plafond sécu et CNAV'!$D$3:$F$74,3,0), 'Grilles et calculs individuels'!H7*VLOOKUP($G6,'données complémentaires'!$A$3:$D$73,4,0))*VLOOKUP($G6,$A$3:$E$73,4,0)/VLOOKUP($G6,$A$3:$E$73,2,0)</f>
        <v>4.48857393218128</v>
      </c>
      <c r="N6" s="76" t="n">
        <f aca="false">MIN(VLOOKUP($G6,'plafond sécu et CNAV'!$D$3:$F$74,3,0), 'Grilles et calculs individuels'!I7*VLOOKUP($G6,'données complémentaires'!$A$3:$D$73,4,0))*VLOOKUP($G6,$A$3:$E$73,4,0)/VLOOKUP($G6,$A$3:$E$73,2,0)</f>
        <v>4.48857393218128</v>
      </c>
      <c r="O6" s="76" t="n">
        <f aca="false">MIN(VLOOKUP($G6,'plafond sécu et CNAV'!$D$3:$F$74,3,0), 'Grilles et calculs individuels'!J7*VLOOKUP($G6,'données complémentaires'!$A$3:$D$73,4,0))*VLOOKUP($G6,$A$3:$E$73,4,0)/VLOOKUP($G6,$A$3:$E$73,2,0)</f>
        <v>7.10405119008803</v>
      </c>
    </row>
    <row r="7" customFormat="false" ht="12.8" hidden="false" customHeight="false" outlineLevel="0" collapsed="false">
      <c r="A7" s="0" t="n">
        <v>2036</v>
      </c>
      <c r="B7" s="56" t="n">
        <v>15.2589</v>
      </c>
      <c r="C7" s="4" t="n">
        <f aca="false">(B7-B8)/B8</f>
        <v>0</v>
      </c>
      <c r="D7" s="4" t="n">
        <f aca="false">0.061-'données complémentaires'!L7</f>
        <v>0.061</v>
      </c>
      <c r="E7" s="86" t="n">
        <f aca="false">0.16344-'données complémentaires'!L7</f>
        <v>0.16344</v>
      </c>
      <c r="G7" s="54" t="n">
        <f aca="false">'calculs agirc'!H7</f>
        <v>2010</v>
      </c>
      <c r="H7" s="76" t="n">
        <f aca="false">MIN(VLOOKUP($G7,'plafond sécu et CNAV'!$D$3:$F$74,3,0), 'Grilles et calculs individuels'!C8*VLOOKUP($G7,'données complémentaires'!$A$3:$D$73,4,0))*VLOOKUP($G7,$A$3:$E$73,4,0)/VLOOKUP($G7,$A$3:$E$73,2,0)</f>
        <v>5.62846848598027</v>
      </c>
      <c r="I7" s="76" t="n">
        <f aca="false">MIN(VLOOKUP($G7,'plafond sécu et CNAV'!$D$3:$F$74,3,0), 'Grilles et calculs individuels'!D8*VLOOKUP($G7,'données complémentaires'!$A$3:$D$73,4,0))*VLOOKUP($G7,$A$3:$E$73,4,0)/VLOOKUP($G7,$A$3:$E$73,2,0)</f>
        <v>6.80958298333183</v>
      </c>
      <c r="J7" s="76" t="n">
        <f aca="false">MIN(VLOOKUP($G7,'plafond sécu et CNAV'!$D$3:$F$74,3,0), 'Grilles et calculs individuels'!E8*VLOOKUP($G7,'données complémentaires'!$A$3:$D$73,4,0))*VLOOKUP($G7,$A$3:$E$73,4,0)/VLOOKUP($G7,$A$3:$E$73,2,0)</f>
        <v>6.80958298333183</v>
      </c>
      <c r="K7" s="76" t="n">
        <f aca="false">MIN(VLOOKUP($G7,'plafond sécu et CNAV'!$D$3:$F$74,3,0), 'Grilles et calculs individuels'!F8*VLOOKUP($G7,'données complémentaires'!$A$3:$D$73,4,0))*VLOOKUP($G7,$A$3:$E$73,4,0)/VLOOKUP($G7,$A$3:$E$73,2,0)</f>
        <v>6.80958298333183</v>
      </c>
      <c r="L7" s="76" t="n">
        <f aca="false">MIN(VLOOKUP($G7,'plafond sécu et CNAV'!$D$3:$F$74,3,0), 'Grilles et calculs individuels'!G8*VLOOKUP($G7,'données complémentaires'!$A$3:$D$73,4,0))*VLOOKUP($G7,$A$3:$E$73,4,0)/VLOOKUP($G7,$A$3:$E$73,2,0)</f>
        <v>4.39349101334981</v>
      </c>
      <c r="M7" s="76" t="n">
        <f aca="false">MIN(VLOOKUP($G7,'plafond sécu et CNAV'!$D$3:$F$74,3,0), 'Grilles et calculs individuels'!H8*VLOOKUP($G7,'données complémentaires'!$A$3:$D$73,4,0))*VLOOKUP($G7,$A$3:$E$73,4,0)/VLOOKUP($G7,$A$3:$E$73,2,0)</f>
        <v>4.39349101334981</v>
      </c>
      <c r="N7" s="76" t="n">
        <f aca="false">MIN(VLOOKUP($G7,'plafond sécu et CNAV'!$D$3:$F$74,3,0), 'Grilles et calculs individuels'!I8*VLOOKUP($G7,'données complémentaires'!$A$3:$D$73,4,0))*VLOOKUP($G7,$A$3:$E$73,4,0)/VLOOKUP($G7,$A$3:$E$73,2,0)</f>
        <v>4.39349101334981</v>
      </c>
      <c r="O7" s="76" t="n">
        <f aca="false">MIN(VLOOKUP($G7,'plafond sécu et CNAV'!$D$3:$F$74,3,0), 'Grilles et calculs individuels'!J8*VLOOKUP($G7,'données complémentaires'!$A$3:$D$73,4,0))*VLOOKUP($G7,$A$3:$E$73,4,0)/VLOOKUP($G7,$A$3:$E$73,2,0)</f>
        <v>6.80958298333183</v>
      </c>
    </row>
    <row r="8" customFormat="false" ht="12.8" hidden="false" customHeight="false" outlineLevel="0" collapsed="false">
      <c r="A8" s="0" t="n">
        <v>2035</v>
      </c>
      <c r="B8" s="56" t="n">
        <v>15.2589</v>
      </c>
      <c r="C8" s="4" t="n">
        <f aca="false">(B8-B9)/B9</f>
        <v>0</v>
      </c>
      <c r="D8" s="4" t="n">
        <f aca="false">0.061-'données complémentaires'!L8</f>
        <v>0.061</v>
      </c>
      <c r="E8" s="86" t="n">
        <f aca="false">0.16344-'données complémentaires'!L8</f>
        <v>0.16344</v>
      </c>
      <c r="G8" s="54" t="n">
        <f aca="false">'calculs agirc'!H8</f>
        <v>2009</v>
      </c>
      <c r="H8" s="76" t="n">
        <f aca="false">MIN(VLOOKUP($G8,'plafond sécu et CNAV'!$D$3:$F$74,3,0), 'Grilles et calculs individuels'!C9*VLOOKUP($G8,'données complémentaires'!$A$3:$D$73,4,0))*VLOOKUP($G8,$A$3:$E$73,4,0)/VLOOKUP($G8,$A$3:$E$73,2,0)</f>
        <v>5.65632007644187</v>
      </c>
      <c r="I8" s="76" t="n">
        <f aca="false">MIN(VLOOKUP($G8,'plafond sécu et CNAV'!$D$3:$F$74,3,0), 'Grilles et calculs individuels'!D9*VLOOKUP($G8,'données complémentaires'!$A$3:$D$73,4,0))*VLOOKUP($G8,$A$3:$E$73,4,0)/VLOOKUP($G8,$A$3:$E$73,2,0)</f>
        <v>6.83596112462904</v>
      </c>
      <c r="J8" s="76" t="n">
        <f aca="false">MIN(VLOOKUP($G8,'plafond sécu et CNAV'!$D$3:$F$74,3,0), 'Grilles et calculs individuels'!E9*VLOOKUP($G8,'données complémentaires'!$A$3:$D$73,4,0))*VLOOKUP($G8,$A$3:$E$73,4,0)/VLOOKUP($G8,$A$3:$E$73,2,0)</f>
        <v>6.83596112462904</v>
      </c>
      <c r="K8" s="76" t="n">
        <f aca="false">MIN(VLOOKUP($G8,'plafond sécu et CNAV'!$D$3:$F$74,3,0), 'Grilles et calculs individuels'!F9*VLOOKUP($G8,'données complémentaires'!$A$3:$D$73,4,0))*VLOOKUP($G8,$A$3:$E$73,4,0)/VLOOKUP($G8,$A$3:$E$73,2,0)</f>
        <v>6.83596112462904</v>
      </c>
      <c r="L8" s="76" t="n">
        <f aca="false">MIN(VLOOKUP($G8,'plafond sécu et CNAV'!$D$3:$F$74,3,0), 'Grilles et calculs individuels'!G9*VLOOKUP($G8,'données complémentaires'!$A$3:$D$73,4,0))*VLOOKUP($G8,$A$3:$E$73,4,0)/VLOOKUP($G8,$A$3:$E$73,2,0)</f>
        <v>4.41523151215607</v>
      </c>
      <c r="M8" s="76" t="n">
        <f aca="false">MIN(VLOOKUP($G8,'plafond sécu et CNAV'!$D$3:$F$74,3,0), 'Grilles et calculs individuels'!H9*VLOOKUP($G8,'données complémentaires'!$A$3:$D$73,4,0))*VLOOKUP($G8,$A$3:$E$73,4,0)/VLOOKUP($G8,$A$3:$E$73,2,0)</f>
        <v>4.41523151215607</v>
      </c>
      <c r="N8" s="76" t="n">
        <f aca="false">MIN(VLOOKUP($G8,'plafond sécu et CNAV'!$D$3:$F$74,3,0), 'Grilles et calculs individuels'!I9*VLOOKUP($G8,'données complémentaires'!$A$3:$D$73,4,0))*VLOOKUP($G8,$A$3:$E$73,4,0)/VLOOKUP($G8,$A$3:$E$73,2,0)</f>
        <v>4.41523151215607</v>
      </c>
      <c r="O8" s="76" t="n">
        <f aca="false">MIN(VLOOKUP($G8,'plafond sécu et CNAV'!$D$3:$F$74,3,0), 'Grilles et calculs individuels'!J9*VLOOKUP($G8,'données complémentaires'!$A$3:$D$73,4,0))*VLOOKUP($G8,$A$3:$E$73,4,0)/VLOOKUP($G8,$A$3:$E$73,2,0)</f>
        <v>6.83596112462904</v>
      </c>
    </row>
    <row r="9" customFormat="false" ht="12.8" hidden="false" customHeight="false" outlineLevel="0" collapsed="false">
      <c r="A9" s="0" t="n">
        <v>2034</v>
      </c>
      <c r="B9" s="56" t="n">
        <v>15.2589</v>
      </c>
      <c r="C9" s="4" t="n">
        <f aca="false">(B9-B10)/B10</f>
        <v>0</v>
      </c>
      <c r="D9" s="4" t="n">
        <f aca="false">0.061-'données complémentaires'!L9</f>
        <v>0.061</v>
      </c>
      <c r="E9" s="86" t="n">
        <f aca="false">0.16344-'données complémentaires'!L9</f>
        <v>0.16344</v>
      </c>
      <c r="G9" s="54" t="n">
        <f aca="false">'calculs agirc'!H9</f>
        <v>2008</v>
      </c>
      <c r="H9" s="76" t="n">
        <f aca="false">MIN(VLOOKUP($G9,'plafond sécu et CNAV'!$D$3:$F$74,3,0), 'Grilles et calculs individuels'!C10*VLOOKUP($G9,'données complémentaires'!$A$3:$D$73,4,0))*VLOOKUP($G9,$A$3:$E$73,4,0)/VLOOKUP($G9,$A$3:$E$73,2,0)</f>
        <v>5.71188633721435</v>
      </c>
      <c r="I9" s="76" t="n">
        <f aca="false">MIN(VLOOKUP($G9,'plafond sécu et CNAV'!$D$3:$F$74,3,0), 'Grilles et calculs individuels'!D10*VLOOKUP($G9,'données complémentaires'!$A$3:$D$73,4,0))*VLOOKUP($G9,$A$3:$E$73,4,0)/VLOOKUP($G9,$A$3:$E$73,2,0)</f>
        <v>6.74966352624495</v>
      </c>
      <c r="J9" s="76" t="n">
        <f aca="false">MIN(VLOOKUP($G9,'plafond sécu et CNAV'!$D$3:$F$74,3,0), 'Grilles et calculs individuels'!E10*VLOOKUP($G9,'données complémentaires'!$A$3:$D$73,4,0))*VLOOKUP($G9,$A$3:$E$73,4,0)/VLOOKUP($G9,$A$3:$E$73,2,0)</f>
        <v>6.74966352624495</v>
      </c>
      <c r="K9" s="76" t="n">
        <f aca="false">MIN(VLOOKUP($G9,'plafond sécu et CNAV'!$D$3:$F$74,3,0), 'Grilles et calculs individuels'!F10*VLOOKUP($G9,'données complémentaires'!$A$3:$D$73,4,0))*VLOOKUP($G9,$A$3:$E$73,4,0)/VLOOKUP($G9,$A$3:$E$73,2,0)</f>
        <v>6.74966352624495</v>
      </c>
      <c r="L9" s="76" t="n">
        <f aca="false">MIN(VLOOKUP($G9,'plafond sécu et CNAV'!$D$3:$F$74,3,0), 'Grilles et calculs individuels'!G10*VLOOKUP($G9,'données complémentaires'!$A$3:$D$73,4,0))*VLOOKUP($G9,$A$3:$E$73,4,0)/VLOOKUP($G9,$A$3:$E$73,2,0)</f>
        <v>4.45860563212448</v>
      </c>
      <c r="M9" s="76" t="n">
        <f aca="false">MIN(VLOOKUP($G9,'plafond sécu et CNAV'!$D$3:$F$74,3,0), 'Grilles et calculs individuels'!H10*VLOOKUP($G9,'données complémentaires'!$A$3:$D$73,4,0))*VLOOKUP($G9,$A$3:$E$73,4,0)/VLOOKUP($G9,$A$3:$E$73,2,0)</f>
        <v>4.45860563212448</v>
      </c>
      <c r="N9" s="76" t="n">
        <f aca="false">MIN(VLOOKUP($G9,'plafond sécu et CNAV'!$D$3:$F$74,3,0), 'Grilles et calculs individuels'!I10*VLOOKUP($G9,'données complémentaires'!$A$3:$D$73,4,0))*VLOOKUP($G9,$A$3:$E$73,4,0)/VLOOKUP($G9,$A$3:$E$73,2,0)</f>
        <v>4.45860563212448</v>
      </c>
      <c r="O9" s="76" t="n">
        <f aca="false">MIN(VLOOKUP($G9,'plafond sécu et CNAV'!$D$3:$F$74,3,0), 'Grilles et calculs individuels'!J10*VLOOKUP($G9,'données complémentaires'!$A$3:$D$73,4,0))*VLOOKUP($G9,$A$3:$E$73,4,0)/VLOOKUP($G9,$A$3:$E$73,2,0)</f>
        <v>6.74966352624495</v>
      </c>
    </row>
    <row r="10" customFormat="false" ht="12.8" hidden="false" customHeight="false" outlineLevel="0" collapsed="false">
      <c r="A10" s="0" t="n">
        <v>2033</v>
      </c>
      <c r="B10" s="56" t="n">
        <v>15.2589</v>
      </c>
      <c r="C10" s="4" t="n">
        <f aca="false">(B10-B11)/B11</f>
        <v>0</v>
      </c>
      <c r="D10" s="4" t="n">
        <f aca="false">0.061-'données complémentaires'!L10</f>
        <v>0.061</v>
      </c>
      <c r="E10" s="86" t="n">
        <f aca="false">0.16344-'données complémentaires'!L10</f>
        <v>0.16344</v>
      </c>
      <c r="G10" s="54" t="n">
        <f aca="false">'calculs agirc'!H10</f>
        <v>2007</v>
      </c>
      <c r="H10" s="76" t="n">
        <f aca="false">MIN(VLOOKUP($G10,'plafond sécu et CNAV'!$D$3:$F$74,3,0), 'Grilles et calculs individuels'!C11*VLOOKUP($G10,'données complémentaires'!$A$3:$D$73,4,0))*VLOOKUP($G10,$A$3:$E$73,4,0)/VLOOKUP($G10,$A$3:$E$73,2,0)</f>
        <v>5.87327196616655</v>
      </c>
      <c r="I10" s="76" t="n">
        <f aca="false">MIN(VLOOKUP($G10,'plafond sécu et CNAV'!$D$3:$F$74,3,0), 'Grilles et calculs individuels'!D11*VLOOKUP($G10,'données complémentaires'!$A$3:$D$73,4,0))*VLOOKUP($G10,$A$3:$E$73,4,0)/VLOOKUP($G10,$A$3:$E$73,2,0)</f>
        <v>6.75011658807766</v>
      </c>
      <c r="J10" s="76" t="n">
        <f aca="false">MIN(VLOOKUP($G10,'plafond sécu et CNAV'!$D$3:$F$74,3,0), 'Grilles et calculs individuels'!E11*VLOOKUP($G10,'données complémentaires'!$A$3:$D$73,4,0))*VLOOKUP($G10,$A$3:$E$73,4,0)/VLOOKUP($G10,$A$3:$E$73,2,0)</f>
        <v>6.75011658807766</v>
      </c>
      <c r="K10" s="76" t="n">
        <f aca="false">MIN(VLOOKUP($G10,'plafond sécu et CNAV'!$D$3:$F$74,3,0), 'Grilles et calculs individuels'!F11*VLOOKUP($G10,'données complémentaires'!$A$3:$D$73,4,0))*VLOOKUP($G10,$A$3:$E$73,4,0)/VLOOKUP($G10,$A$3:$E$73,2,0)</f>
        <v>6.75011658807766</v>
      </c>
      <c r="L10" s="76" t="n">
        <f aca="false">MIN(VLOOKUP($G10,'plafond sécu et CNAV'!$D$3:$F$74,3,0), 'Grilles et calculs individuels'!G11*VLOOKUP($G10,'données complémentaires'!$A$3:$D$73,4,0))*VLOOKUP($G10,$A$3:$E$73,4,0)/VLOOKUP($G10,$A$3:$E$73,2,0)</f>
        <v>4.5845806308744</v>
      </c>
      <c r="M10" s="76" t="n">
        <f aca="false">MIN(VLOOKUP($G10,'plafond sécu et CNAV'!$D$3:$F$74,3,0), 'Grilles et calculs individuels'!H11*VLOOKUP($G10,'données complémentaires'!$A$3:$D$73,4,0))*VLOOKUP($G10,$A$3:$E$73,4,0)/VLOOKUP($G10,$A$3:$E$73,2,0)</f>
        <v>4.5845806308744</v>
      </c>
      <c r="N10" s="76" t="n">
        <f aca="false">MIN(VLOOKUP($G10,'plafond sécu et CNAV'!$D$3:$F$74,3,0), 'Grilles et calculs individuels'!I11*VLOOKUP($G10,'données complémentaires'!$A$3:$D$73,4,0))*VLOOKUP($G10,$A$3:$E$73,4,0)/VLOOKUP($G10,$A$3:$E$73,2,0)</f>
        <v>4.5845806308744</v>
      </c>
      <c r="O10" s="76" t="n">
        <f aca="false">MIN(VLOOKUP($G10,'plafond sécu et CNAV'!$D$3:$F$74,3,0), 'Grilles et calculs individuels'!J11*VLOOKUP($G10,'données complémentaires'!$A$3:$D$73,4,0))*VLOOKUP($G10,$A$3:$E$73,4,0)/VLOOKUP($G10,$A$3:$E$73,2,0)</f>
        <v>6.75011658807766</v>
      </c>
    </row>
    <row r="11" customFormat="false" ht="12.8" hidden="false" customHeight="false" outlineLevel="0" collapsed="false">
      <c r="A11" s="0" t="n">
        <v>2032</v>
      </c>
      <c r="B11" s="56" t="n">
        <v>15.2589</v>
      </c>
      <c r="C11" s="4" t="n">
        <f aca="false">(B11-B12)/B12</f>
        <v>0</v>
      </c>
      <c r="D11" s="4" t="n">
        <f aca="false">0.061-'données complémentaires'!L11</f>
        <v>0.061</v>
      </c>
      <c r="E11" s="86" t="n">
        <f aca="false">0.16344-'données complémentaires'!L11</f>
        <v>0.16344</v>
      </c>
      <c r="G11" s="54" t="n">
        <f aca="false">'calculs agirc'!H11</f>
        <v>2006</v>
      </c>
      <c r="H11" s="76" t="n">
        <f aca="false">MIN(VLOOKUP($G11,'plafond sécu et CNAV'!$D$3:$F$74,3,0), 'Grilles et calculs individuels'!C12*VLOOKUP($G11,'données complémentaires'!$A$3:$D$73,4,0))*VLOOKUP($G11,$A$3:$E$73,4,0)/VLOOKUP($G11,$A$3:$E$73,2,0)</f>
        <v>6.03121646816041</v>
      </c>
      <c r="I11" s="76" t="n">
        <f aca="false">MIN(VLOOKUP($G11,'plafond sécu et CNAV'!$D$3:$F$74,3,0), 'Grilles et calculs individuels'!D12*VLOOKUP($G11,'données complémentaires'!$A$3:$D$73,4,0))*VLOOKUP($G11,$A$3:$E$73,4,0)/VLOOKUP($G11,$A$3:$E$73,2,0)</f>
        <v>6.75714472138849</v>
      </c>
      <c r="J11" s="76" t="n">
        <f aca="false">MIN(VLOOKUP($G11,'plafond sécu et CNAV'!$D$3:$F$74,3,0), 'Grilles et calculs individuels'!E12*VLOOKUP($G11,'données complémentaires'!$A$3:$D$73,4,0))*VLOOKUP($G11,$A$3:$E$73,4,0)/VLOOKUP($G11,$A$3:$E$73,2,0)</f>
        <v>6.75714472138849</v>
      </c>
      <c r="K11" s="76" t="n">
        <f aca="false">MIN(VLOOKUP($G11,'plafond sécu et CNAV'!$D$3:$F$74,3,0), 'Grilles et calculs individuels'!F12*VLOOKUP($G11,'données complémentaires'!$A$3:$D$73,4,0))*VLOOKUP($G11,$A$3:$E$73,4,0)/VLOOKUP($G11,$A$3:$E$73,2,0)</f>
        <v>6.75714472138849</v>
      </c>
      <c r="L11" s="76" t="n">
        <f aca="false">MIN(VLOOKUP($G11,'plafond sécu et CNAV'!$D$3:$F$74,3,0), 'Grilles et calculs individuels'!G12*VLOOKUP($G11,'données complémentaires'!$A$3:$D$73,4,0))*VLOOKUP($G11,$A$3:$E$73,4,0)/VLOOKUP($G11,$A$3:$E$73,2,0)</f>
        <v>4.70786954185374</v>
      </c>
      <c r="M11" s="76" t="n">
        <f aca="false">MIN(VLOOKUP($G11,'plafond sécu et CNAV'!$D$3:$F$74,3,0), 'Grilles et calculs individuels'!H12*VLOOKUP($G11,'données complémentaires'!$A$3:$D$73,4,0))*VLOOKUP($G11,$A$3:$E$73,4,0)/VLOOKUP($G11,$A$3:$E$73,2,0)</f>
        <v>4.70786954185374</v>
      </c>
      <c r="N11" s="76" t="n">
        <f aca="false">MIN(VLOOKUP($G11,'plafond sécu et CNAV'!$D$3:$F$74,3,0), 'Grilles et calculs individuels'!I12*VLOOKUP($G11,'données complémentaires'!$A$3:$D$73,4,0))*VLOOKUP($G11,$A$3:$E$73,4,0)/VLOOKUP($G11,$A$3:$E$73,2,0)</f>
        <v>4.70786954185374</v>
      </c>
      <c r="O11" s="76" t="n">
        <f aca="false">MIN(VLOOKUP($G11,'plafond sécu et CNAV'!$D$3:$F$74,3,0), 'Grilles et calculs individuels'!J12*VLOOKUP($G11,'données complémentaires'!$A$3:$D$73,4,0))*VLOOKUP($G11,$A$3:$E$73,4,0)/VLOOKUP($G11,$A$3:$E$73,2,0)</f>
        <v>6.75714472138849</v>
      </c>
    </row>
    <row r="12" customFormat="false" ht="12.8" hidden="false" customHeight="false" outlineLevel="0" collapsed="false">
      <c r="A12" s="0" t="n">
        <v>2031</v>
      </c>
      <c r="B12" s="56" t="n">
        <v>15.2589</v>
      </c>
      <c r="C12" s="4" t="n">
        <f aca="false">(B12-B13)/B13</f>
        <v>0</v>
      </c>
      <c r="D12" s="4" t="n">
        <f aca="false">0.061-'données complémentaires'!L12</f>
        <v>0.061</v>
      </c>
      <c r="E12" s="86" t="n">
        <f aca="false">0.16344-'données complémentaires'!L12</f>
        <v>0.16344</v>
      </c>
      <c r="G12" s="54" t="n">
        <f aca="false">'calculs agirc'!H12</f>
        <v>2005</v>
      </c>
      <c r="H12" s="76" t="n">
        <f aca="false">MIN(VLOOKUP($G12,'plafond sécu et CNAV'!$D$3:$F$74,3,0), 'Grilles et calculs individuels'!C13*VLOOKUP($G12,'données complémentaires'!$A$3:$D$73,4,0))*VLOOKUP($G12,$A$3:$E$73,4,0)/VLOOKUP($G12,$A$3:$E$73,2,0)</f>
        <v>6.31221396932656</v>
      </c>
      <c r="I12" s="76" t="n">
        <f aca="false">MIN(VLOOKUP($G12,'plafond sécu et CNAV'!$D$3:$F$74,3,0), 'Grilles et calculs individuels'!D13*VLOOKUP($G12,'données complémentaires'!$A$3:$D$73,4,0))*VLOOKUP($G12,$A$3:$E$73,4,0)/VLOOKUP($G12,$A$3:$E$73,2,0)</f>
        <v>6.95576619273302</v>
      </c>
      <c r="J12" s="76" t="n">
        <f aca="false">MIN(VLOOKUP($G12,'plafond sécu et CNAV'!$D$3:$F$74,3,0), 'Grilles et calculs individuels'!E13*VLOOKUP($G12,'données complémentaires'!$A$3:$D$73,4,0))*VLOOKUP($G12,$A$3:$E$73,4,0)/VLOOKUP($G12,$A$3:$E$73,2,0)</f>
        <v>6.95576619273302</v>
      </c>
      <c r="K12" s="76" t="n">
        <f aca="false">MIN(VLOOKUP($G12,'plafond sécu et CNAV'!$D$3:$F$74,3,0), 'Grilles et calculs individuels'!F13*VLOOKUP($G12,'données complémentaires'!$A$3:$D$73,4,0))*VLOOKUP($G12,$A$3:$E$73,4,0)/VLOOKUP($G12,$A$3:$E$73,2,0)</f>
        <v>6.95576619273302</v>
      </c>
      <c r="L12" s="76" t="n">
        <f aca="false">MIN(VLOOKUP($G12,'plafond sécu et CNAV'!$D$3:$F$74,3,0), 'Grilles et calculs individuels'!G13*VLOOKUP($G12,'données complémentaires'!$A$3:$D$73,4,0))*VLOOKUP($G12,$A$3:$E$73,4,0)/VLOOKUP($G12,$A$3:$E$73,2,0)</f>
        <v>4.92721162384679</v>
      </c>
      <c r="M12" s="76" t="n">
        <f aca="false">MIN(VLOOKUP($G12,'plafond sécu et CNAV'!$D$3:$F$74,3,0), 'Grilles et calculs individuels'!H13*VLOOKUP($G12,'données complémentaires'!$A$3:$D$73,4,0))*VLOOKUP($G12,$A$3:$E$73,4,0)/VLOOKUP($G12,$A$3:$E$73,2,0)</f>
        <v>4.92721162384679</v>
      </c>
      <c r="N12" s="76" t="n">
        <f aca="false">MIN(VLOOKUP($G12,'plafond sécu et CNAV'!$D$3:$F$74,3,0), 'Grilles et calculs individuels'!I13*VLOOKUP($G12,'données complémentaires'!$A$3:$D$73,4,0))*VLOOKUP($G12,$A$3:$E$73,4,0)/VLOOKUP($G12,$A$3:$E$73,2,0)</f>
        <v>4.92721162384679</v>
      </c>
      <c r="O12" s="76" t="n">
        <f aca="false">MIN(VLOOKUP($G12,'plafond sécu et CNAV'!$D$3:$F$74,3,0), 'Grilles et calculs individuels'!J13*VLOOKUP($G12,'données complémentaires'!$A$3:$D$73,4,0))*VLOOKUP($G12,$A$3:$E$73,4,0)/VLOOKUP($G12,$A$3:$E$73,2,0)</f>
        <v>6.95576619273302</v>
      </c>
    </row>
    <row r="13" customFormat="false" ht="12.8" hidden="false" customHeight="false" outlineLevel="0" collapsed="false">
      <c r="A13" s="0" t="n">
        <v>2030</v>
      </c>
      <c r="B13" s="56" t="n">
        <v>15.2589</v>
      </c>
      <c r="C13" s="4" t="n">
        <f aca="false">(B13-B14)/B14</f>
        <v>0</v>
      </c>
      <c r="D13" s="4" t="n">
        <f aca="false">0.061-'données complémentaires'!L13</f>
        <v>0.061</v>
      </c>
      <c r="E13" s="86" t="n">
        <f aca="false">0.16344-'données complémentaires'!L13</f>
        <v>0.16344</v>
      </c>
      <c r="G13" s="54" t="n">
        <f aca="false">'calculs agirc'!H13</f>
        <v>2004</v>
      </c>
      <c r="H13" s="76" t="n">
        <f aca="false">MIN(VLOOKUP($G13,'plafond sécu et CNAV'!$D$3:$F$74,3,0), 'Grilles et calculs individuels'!C14*VLOOKUP($G13,'données complémentaires'!$A$3:$D$73,4,0))*VLOOKUP($G13,$A$3:$E$73,4,0)/VLOOKUP($G13,$A$3:$E$73,2,0)</f>
        <v>6.59276755847882</v>
      </c>
      <c r="I13" s="76" t="n">
        <f aca="false">MIN(VLOOKUP($G13,'plafond sécu et CNAV'!$D$3:$F$74,3,0), 'Grilles et calculs individuels'!D14*VLOOKUP($G13,'données complémentaires'!$A$3:$D$73,4,0))*VLOOKUP($G13,$A$3:$E$73,4,0)/VLOOKUP($G13,$A$3:$E$73,2,0)</f>
        <v>7.20978387472499</v>
      </c>
      <c r="J13" s="76" t="n">
        <f aca="false">MIN(VLOOKUP($G13,'plafond sécu et CNAV'!$D$3:$F$74,3,0), 'Grilles et calculs individuels'!E14*VLOOKUP($G13,'données complémentaires'!$A$3:$D$73,4,0))*VLOOKUP($G13,$A$3:$E$73,4,0)/VLOOKUP($G13,$A$3:$E$73,2,0)</f>
        <v>7.20978387472499</v>
      </c>
      <c r="K13" s="76" t="n">
        <f aca="false">MIN(VLOOKUP($G13,'plafond sécu et CNAV'!$D$3:$F$74,3,0), 'Grilles et calculs individuels'!F14*VLOOKUP($G13,'données complémentaires'!$A$3:$D$73,4,0))*VLOOKUP($G13,$A$3:$E$73,4,0)/VLOOKUP($G13,$A$3:$E$73,2,0)</f>
        <v>7.20978387472499</v>
      </c>
      <c r="L13" s="76" t="n">
        <f aca="false">MIN(VLOOKUP($G13,'plafond sécu et CNAV'!$D$3:$F$74,3,0), 'Grilles et calculs individuels'!G14*VLOOKUP($G13,'données complémentaires'!$A$3:$D$73,4,0))*VLOOKUP($G13,$A$3:$E$73,4,0)/VLOOKUP($G13,$A$3:$E$73,2,0)</f>
        <v>5.14620719533729</v>
      </c>
      <c r="M13" s="76" t="n">
        <f aca="false">MIN(VLOOKUP($G13,'plafond sécu et CNAV'!$D$3:$F$74,3,0), 'Grilles et calculs individuels'!H14*VLOOKUP($G13,'données complémentaires'!$A$3:$D$73,4,0))*VLOOKUP($G13,$A$3:$E$73,4,0)/VLOOKUP($G13,$A$3:$E$73,2,0)</f>
        <v>5.14620719533729</v>
      </c>
      <c r="N13" s="76" t="n">
        <f aca="false">MIN(VLOOKUP($G13,'plafond sécu et CNAV'!$D$3:$F$74,3,0), 'Grilles et calculs individuels'!I14*VLOOKUP($G13,'données complémentaires'!$A$3:$D$73,4,0))*VLOOKUP($G13,$A$3:$E$73,4,0)/VLOOKUP($G13,$A$3:$E$73,2,0)</f>
        <v>5.03097338176797</v>
      </c>
      <c r="O13" s="76" t="n">
        <f aca="false">MIN(VLOOKUP($G13,'plafond sécu et CNAV'!$D$3:$F$74,3,0), 'Grilles et calculs individuels'!J14*VLOOKUP($G13,'données complémentaires'!$A$3:$D$73,4,0))*VLOOKUP($G13,$A$3:$E$73,4,0)/VLOOKUP($G13,$A$3:$E$73,2,0)</f>
        <v>7.20978387472499</v>
      </c>
    </row>
    <row r="14" customFormat="false" ht="12.8" hidden="false" customHeight="false" outlineLevel="0" collapsed="false">
      <c r="A14" s="0" t="n">
        <v>2029</v>
      </c>
      <c r="B14" s="56" t="n">
        <v>15.2589</v>
      </c>
      <c r="C14" s="4" t="n">
        <f aca="false">(B14-B15)/B15</f>
        <v>0</v>
      </c>
      <c r="D14" s="4" t="n">
        <f aca="false">0.061-'données complémentaires'!L14</f>
        <v>0.061</v>
      </c>
      <c r="E14" s="86" t="n">
        <f aca="false">0.16344-'données complémentaires'!L14</f>
        <v>0.16344</v>
      </c>
      <c r="G14" s="54" t="n">
        <f aca="false">'calculs agirc'!H14</f>
        <v>2003</v>
      </c>
      <c r="H14" s="76" t="n">
        <f aca="false">MIN(VLOOKUP($G14,'plafond sécu et CNAV'!$D$3:$F$74,3,0), 'Grilles et calculs individuels'!C15*VLOOKUP($G14,'données complémentaires'!$A$3:$D$73,4,0))*VLOOKUP($G14,$A$3:$E$73,4,0)/VLOOKUP($G14,$A$3:$E$73,2,0)</f>
        <v>6.39811685218558</v>
      </c>
      <c r="I14" s="76" t="n">
        <f aca="false">MIN(VLOOKUP($G14,'plafond sécu et CNAV'!$D$3:$F$74,3,0), 'Grilles et calculs individuels'!D15*VLOOKUP($G14,'données complémentaires'!$A$3:$D$73,4,0))*VLOOKUP($G14,$A$3:$E$73,4,0)/VLOOKUP($G14,$A$3:$E$73,2,0)</f>
        <v>7.244563598451</v>
      </c>
      <c r="J14" s="76" t="n">
        <f aca="false">MIN(VLOOKUP($G14,'plafond sécu et CNAV'!$D$3:$F$74,3,0), 'Grilles et calculs individuels'!E15*VLOOKUP($G14,'données complémentaires'!$A$3:$D$73,4,0))*VLOOKUP($G14,$A$3:$E$73,4,0)/VLOOKUP($G14,$A$3:$E$73,2,0)</f>
        <v>7.244563598451</v>
      </c>
      <c r="K14" s="76" t="n">
        <f aca="false">MIN(VLOOKUP($G14,'plafond sécu et CNAV'!$D$3:$F$74,3,0), 'Grilles et calculs individuels'!F15*VLOOKUP($G14,'données complémentaires'!$A$3:$D$73,4,0))*VLOOKUP($G14,$A$3:$E$73,4,0)/VLOOKUP($G14,$A$3:$E$73,2,0)</f>
        <v>7.244563598451</v>
      </c>
      <c r="L14" s="76" t="n">
        <f aca="false">MIN(VLOOKUP($G14,'plafond sécu et CNAV'!$D$3:$F$74,3,0), 'Grilles et calculs individuels'!G15*VLOOKUP($G14,'données complémentaires'!$A$3:$D$73,4,0))*VLOOKUP($G14,$A$3:$E$73,4,0)/VLOOKUP($G14,$A$3:$E$73,2,0)</f>
        <v>5.23839186192085</v>
      </c>
      <c r="M14" s="76" t="n">
        <f aca="false">MIN(VLOOKUP($G14,'plafond sécu et CNAV'!$D$3:$F$74,3,0), 'Grilles et calculs individuels'!H15*VLOOKUP($G14,'données complémentaires'!$A$3:$D$73,4,0))*VLOOKUP($G14,$A$3:$E$73,4,0)/VLOOKUP($G14,$A$3:$E$73,2,0)</f>
        <v>5.23839186192085</v>
      </c>
      <c r="N14" s="76" t="n">
        <f aca="false">MIN(VLOOKUP($G14,'plafond sécu et CNAV'!$D$3:$F$74,3,0), 'Grilles et calculs individuels'!I15*VLOOKUP($G14,'données complémentaires'!$A$3:$D$73,4,0))*VLOOKUP($G14,$A$3:$E$73,4,0)/VLOOKUP($G14,$A$3:$E$73,2,0)</f>
        <v>5.12109385033543</v>
      </c>
      <c r="O14" s="76" t="n">
        <f aca="false">MIN(VLOOKUP($G14,'plafond sécu et CNAV'!$D$3:$F$74,3,0), 'Grilles et calculs individuels'!J15*VLOOKUP($G14,'données complémentaires'!$A$3:$D$73,4,0))*VLOOKUP($G14,$A$3:$E$73,4,0)/VLOOKUP($G14,$A$3:$E$73,2,0)</f>
        <v>7.244563598451</v>
      </c>
    </row>
    <row r="15" customFormat="false" ht="12.8" hidden="false" customHeight="false" outlineLevel="0" collapsed="false">
      <c r="A15" s="0" t="n">
        <v>2028</v>
      </c>
      <c r="B15" s="56" t="n">
        <v>15.2589</v>
      </c>
      <c r="C15" s="4" t="n">
        <f aca="false">(B15-B16)/B16</f>
        <v>0</v>
      </c>
      <c r="D15" s="4" t="n">
        <f aca="false">0.061-'données complémentaires'!L15</f>
        <v>0.061</v>
      </c>
      <c r="E15" s="86" t="n">
        <f aca="false">0.16344-'données complémentaires'!L15</f>
        <v>0.16344</v>
      </c>
      <c r="G15" s="54" t="n">
        <f aca="false">'calculs agirc'!H15</f>
        <v>2002</v>
      </c>
      <c r="H15" s="76" t="n">
        <f aca="false">MIN(VLOOKUP($G15,'plafond sécu et CNAV'!$D$3:$F$74,3,0), 'Grilles et calculs individuels'!C16*VLOOKUP($G15,'données complémentaires'!$A$3:$D$73,4,0))*VLOOKUP($G15,$A$3:$E$73,4,0)/VLOOKUP($G15,$A$3:$E$73,2,0)</f>
        <v>6.45263959218119</v>
      </c>
      <c r="I15" s="76" t="n">
        <f aca="false">MIN(VLOOKUP($G15,'plafond sécu et CNAV'!$D$3:$F$74,3,0), 'Grilles et calculs individuels'!D16*VLOOKUP($G15,'données complémentaires'!$A$3:$D$73,4,0))*VLOOKUP($G15,$A$3:$E$73,4,0)/VLOOKUP($G15,$A$3:$E$73,2,0)</f>
        <v>7.11834483686286</v>
      </c>
      <c r="J15" s="76" t="n">
        <f aca="false">MIN(VLOOKUP($G15,'plafond sécu et CNAV'!$D$3:$F$74,3,0), 'Grilles et calculs individuels'!E16*VLOOKUP($G15,'données complémentaires'!$A$3:$D$73,4,0))*VLOOKUP($G15,$A$3:$E$73,4,0)/VLOOKUP($G15,$A$3:$E$73,2,0)</f>
        <v>7.11834483686286</v>
      </c>
      <c r="K15" s="76" t="n">
        <f aca="false">MIN(VLOOKUP($G15,'plafond sécu et CNAV'!$D$3:$F$74,3,0), 'Grilles et calculs individuels'!F16*VLOOKUP($G15,'données complémentaires'!$A$3:$D$73,4,0))*VLOOKUP($G15,$A$3:$E$73,4,0)/VLOOKUP($G15,$A$3:$E$73,2,0)</f>
        <v>7.11834483686286</v>
      </c>
      <c r="L15" s="76" t="n">
        <f aca="false">MIN(VLOOKUP($G15,'plafond sécu et CNAV'!$D$3:$F$74,3,0), 'Grilles et calculs individuels'!G16*VLOOKUP($G15,'données complémentaires'!$A$3:$D$73,4,0))*VLOOKUP($G15,$A$3:$E$73,4,0)/VLOOKUP($G15,$A$3:$E$73,2,0)</f>
        <v>5.28303179021242</v>
      </c>
      <c r="M15" s="76" t="n">
        <f aca="false">MIN(VLOOKUP($G15,'plafond sécu et CNAV'!$D$3:$F$74,3,0), 'Grilles et calculs individuels'!H16*VLOOKUP($G15,'données complémentaires'!$A$3:$D$73,4,0))*VLOOKUP($G15,$A$3:$E$73,4,0)/VLOOKUP($G15,$A$3:$E$73,2,0)</f>
        <v>5.28303179021242</v>
      </c>
      <c r="N15" s="76" t="n">
        <f aca="false">MIN(VLOOKUP($G15,'plafond sécu et CNAV'!$D$3:$F$74,3,0), 'Grilles et calculs individuels'!I16*VLOOKUP($G15,'données complémentaires'!$A$3:$D$73,4,0))*VLOOKUP($G15,$A$3:$E$73,4,0)/VLOOKUP($G15,$A$3:$E$73,2,0)</f>
        <v>5.16473420185537</v>
      </c>
      <c r="O15" s="76" t="n">
        <f aca="false">MIN(VLOOKUP($G15,'plafond sécu et CNAV'!$D$3:$F$74,3,0), 'Grilles et calculs individuels'!J16*VLOOKUP($G15,'données complémentaires'!$A$3:$D$73,4,0))*VLOOKUP($G15,$A$3:$E$73,4,0)/VLOOKUP($G15,$A$3:$E$73,2,0)</f>
        <v>7.11834483686286</v>
      </c>
    </row>
    <row r="16" customFormat="false" ht="12.8" hidden="false" customHeight="false" outlineLevel="0" collapsed="false">
      <c r="A16" s="0" t="n">
        <v>2027</v>
      </c>
      <c r="B16" s="56" t="n">
        <v>15.2589</v>
      </c>
      <c r="C16" s="4" t="n">
        <f aca="false">(B16-B17)/B17</f>
        <v>0</v>
      </c>
      <c r="D16" s="4" t="n">
        <f aca="false">0.061-'données complémentaires'!L16</f>
        <v>0.061</v>
      </c>
      <c r="E16" s="86" t="n">
        <f aca="false">0.16344-'données complémentaires'!L16</f>
        <v>0.16344</v>
      </c>
      <c r="G16" s="54" t="n">
        <f aca="false">'calculs agirc'!H16</f>
        <v>2001</v>
      </c>
      <c r="H16" s="76" t="n">
        <f aca="false">MIN(VLOOKUP($G16,'plafond sécu et CNAV'!$D$3:$F$74,3,0), 'Grilles et calculs individuels'!C17*VLOOKUP($G16,'données complémentaires'!$A$3:$D$73,4,0))*VLOOKUP($G16,$A$3:$E$73,4,0)/VLOOKUP($G16,$A$3:$E$73,2,0)</f>
        <v>7.908995978203</v>
      </c>
      <c r="I16" s="76" t="n">
        <f aca="false">MIN(VLOOKUP($G16,'plafond sécu et CNAV'!$D$3:$F$74,3,0), 'Grilles et calculs individuels'!D17*VLOOKUP($G16,'données complémentaires'!$A$3:$D$73,4,0))*VLOOKUP($G16,$A$3:$E$73,4,0)/VLOOKUP($G16,$A$3:$E$73,2,0)</f>
        <v>8.5654945212347</v>
      </c>
      <c r="J16" s="76" t="n">
        <f aca="false">MIN(VLOOKUP($G16,'plafond sécu et CNAV'!$D$3:$F$74,3,0), 'Grilles et calculs individuels'!E17*VLOOKUP($G16,'données complémentaires'!$A$3:$D$73,4,0))*VLOOKUP($G16,$A$3:$E$73,4,0)/VLOOKUP($G16,$A$3:$E$73,2,0)</f>
        <v>8.5654945212347</v>
      </c>
      <c r="K16" s="76" t="n">
        <f aca="false">MIN(VLOOKUP($G16,'plafond sécu et CNAV'!$D$3:$F$74,3,0), 'Grilles et calculs individuels'!F17*VLOOKUP($G16,'données complémentaires'!$A$3:$D$73,4,0))*VLOOKUP($G16,$A$3:$E$73,4,0)/VLOOKUP($G16,$A$3:$E$73,2,0)</f>
        <v>8.5654945212347</v>
      </c>
      <c r="L16" s="76" t="n">
        <f aca="false">MIN(VLOOKUP($G16,'plafond sécu et CNAV'!$D$3:$F$74,3,0), 'Grilles et calculs individuels'!G17*VLOOKUP($G16,'données complémentaires'!$A$3:$D$73,4,0))*VLOOKUP($G16,$A$3:$E$73,4,0)/VLOOKUP($G16,$A$3:$E$73,2,0)</f>
        <v>6.47540848742561</v>
      </c>
      <c r="M16" s="76" t="n">
        <f aca="false">MIN(VLOOKUP($G16,'plafond sécu et CNAV'!$D$3:$F$74,3,0), 'Grilles et calculs individuels'!H17*VLOOKUP($G16,'données complémentaires'!$A$3:$D$73,4,0))*VLOOKUP($G16,$A$3:$E$73,4,0)/VLOOKUP($G16,$A$3:$E$73,2,0)</f>
        <v>6.47540848742561</v>
      </c>
      <c r="N16" s="76" t="n">
        <f aca="false">MIN(VLOOKUP($G16,'plafond sécu et CNAV'!$D$3:$F$74,3,0), 'Grilles et calculs individuels'!I17*VLOOKUP($G16,'données complémentaires'!$A$3:$D$73,4,0))*VLOOKUP($G16,$A$3:$E$73,4,0)/VLOOKUP($G16,$A$3:$E$73,2,0)</f>
        <v>6.33041121349127</v>
      </c>
      <c r="O16" s="76" t="n">
        <f aca="false">MIN(VLOOKUP($G16,'plafond sécu et CNAV'!$D$3:$F$74,3,0), 'Grilles et calculs individuels'!J17*VLOOKUP($G16,'données complémentaires'!$A$3:$D$73,4,0))*VLOOKUP($G16,$A$3:$E$73,4,0)/VLOOKUP($G16,$A$3:$E$73,2,0)</f>
        <v>8.5654945212347</v>
      </c>
    </row>
    <row r="17" customFormat="false" ht="12.8" hidden="false" customHeight="false" outlineLevel="0" collapsed="false">
      <c r="A17" s="0" t="n">
        <v>2026</v>
      </c>
      <c r="B17" s="56" t="n">
        <v>15.2589</v>
      </c>
      <c r="C17" s="4" t="n">
        <f aca="false">(B17-B18)/B18</f>
        <v>0</v>
      </c>
      <c r="D17" s="4" t="n">
        <f aca="false">0.061-'données complémentaires'!L17</f>
        <v>0.061</v>
      </c>
      <c r="E17" s="86" t="n">
        <f aca="false">0.16344-'données complémentaires'!L17</f>
        <v>0.16344</v>
      </c>
      <c r="G17" s="54" t="n">
        <f aca="false">'calculs agirc'!H17</f>
        <v>2000</v>
      </c>
      <c r="H17" s="76" t="n">
        <f aca="false">MIN(VLOOKUP($G17,'plafond sécu et CNAV'!$D$3:$F$74,3,0), 'Grilles et calculs individuels'!C18*VLOOKUP($G17,'données complémentaires'!$A$3:$D$73,4,0))*VLOOKUP($G17,$A$3:$E$73,4,0)/VLOOKUP($G17,$A$3:$E$73,2,0)</f>
        <v>7.91284588121588</v>
      </c>
      <c r="I17" s="76" t="n">
        <f aca="false">MIN(VLOOKUP($G17,'plafond sécu et CNAV'!$D$3:$F$74,3,0), 'Grilles et calculs individuels'!D18*VLOOKUP($G17,'données complémentaires'!$A$3:$D$73,4,0))*VLOOKUP($G17,$A$3:$E$73,4,0)/VLOOKUP($G17,$A$3:$E$73,2,0)</f>
        <v>8.54859003774697</v>
      </c>
      <c r="J17" s="76" t="n">
        <f aca="false">MIN(VLOOKUP($G17,'plafond sécu et CNAV'!$D$3:$F$74,3,0), 'Grilles et calculs individuels'!E18*VLOOKUP($G17,'données complémentaires'!$A$3:$D$73,4,0))*VLOOKUP($G17,$A$3:$E$73,4,0)/VLOOKUP($G17,$A$3:$E$73,2,0)</f>
        <v>8.54859003774697</v>
      </c>
      <c r="K17" s="76" t="n">
        <f aca="false">MIN(VLOOKUP($G17,'plafond sécu et CNAV'!$D$3:$F$74,3,0), 'Grilles et calculs individuels'!F18*VLOOKUP($G17,'données complémentaires'!$A$3:$D$73,4,0))*VLOOKUP($G17,$A$3:$E$73,4,0)/VLOOKUP($G17,$A$3:$E$73,2,0)</f>
        <v>8.54859003774697</v>
      </c>
      <c r="L17" s="76" t="n">
        <f aca="false">MIN(VLOOKUP($G17,'plafond sécu et CNAV'!$D$3:$F$74,3,0), 'Grilles et calculs individuels'!G18*VLOOKUP($G17,'données complémentaires'!$A$3:$D$73,4,0))*VLOOKUP($G17,$A$3:$E$73,4,0)/VLOOKUP($G17,$A$3:$E$73,2,0)</f>
        <v>6.47856055561658</v>
      </c>
      <c r="M17" s="76" t="n">
        <f aca="false">MIN(VLOOKUP($G17,'plafond sécu et CNAV'!$D$3:$F$74,3,0), 'Grilles et calculs individuels'!H18*VLOOKUP($G17,'données complémentaires'!$A$3:$D$73,4,0))*VLOOKUP($G17,$A$3:$E$73,4,0)/VLOOKUP($G17,$A$3:$E$73,2,0)</f>
        <v>6.47856055561658</v>
      </c>
      <c r="N17" s="76" t="n">
        <f aca="false">MIN(VLOOKUP($G17,'plafond sécu et CNAV'!$D$3:$F$74,3,0), 'Grilles et calculs individuels'!I18*VLOOKUP($G17,'données complémentaires'!$A$3:$D$73,4,0))*VLOOKUP($G17,$A$3:$E$73,4,0)/VLOOKUP($G17,$A$3:$E$73,2,0)</f>
        <v>6.12400051747248</v>
      </c>
      <c r="O17" s="76" t="n">
        <f aca="false">MIN(VLOOKUP($G17,'plafond sécu et CNAV'!$D$3:$F$74,3,0), 'Grilles et calculs individuels'!J18*VLOOKUP($G17,'données complémentaires'!$A$3:$D$73,4,0))*VLOOKUP($G17,$A$3:$E$73,4,0)/VLOOKUP($G17,$A$3:$E$73,2,0)</f>
        <v>8.54859003774697</v>
      </c>
    </row>
    <row r="18" customFormat="false" ht="12.8" hidden="false" customHeight="false" outlineLevel="0" collapsed="false">
      <c r="A18" s="0" t="n">
        <v>2025</v>
      </c>
      <c r="B18" s="56" t="n">
        <v>15.2589</v>
      </c>
      <c r="C18" s="4" t="n">
        <f aca="false">(B18-B19)/B19</f>
        <v>0</v>
      </c>
      <c r="D18" s="4" t="n">
        <f aca="false">0.061-'données complémentaires'!L18</f>
        <v>0.061</v>
      </c>
      <c r="E18" s="86" t="n">
        <f aca="false">0.16344-'données complémentaires'!L18</f>
        <v>0.16344</v>
      </c>
      <c r="G18" s="54" t="n">
        <f aca="false">'calculs agirc'!H18</f>
        <v>1999</v>
      </c>
      <c r="H18" s="76" t="n">
        <f aca="false">MIN(VLOOKUP($G18,'plafond sécu et CNAV'!$D$3:$F$74,3,0), 'Grilles et calculs individuels'!C19*VLOOKUP($G18,'données complémentaires'!$A$3:$D$73,4,0))*VLOOKUP($G18,$A$3:$E$73,4,0)/VLOOKUP($G18,$A$3:$E$73,2,0)</f>
        <v>7.73360825577147</v>
      </c>
      <c r="I18" s="76" t="n">
        <f aca="false">MIN(VLOOKUP($G18,'plafond sécu et CNAV'!$D$3:$F$74,3,0), 'Grilles et calculs individuels'!D19*VLOOKUP($G18,'données complémentaires'!$A$3:$D$73,4,0))*VLOOKUP($G18,$A$3:$E$73,4,0)/VLOOKUP($G18,$A$3:$E$73,2,0)</f>
        <v>8.65943713171545</v>
      </c>
      <c r="J18" s="76" t="n">
        <f aca="false">MIN(VLOOKUP($G18,'plafond sécu et CNAV'!$D$3:$F$74,3,0), 'Grilles et calculs individuels'!E19*VLOOKUP($G18,'données complémentaires'!$A$3:$D$73,4,0))*VLOOKUP($G18,$A$3:$E$73,4,0)/VLOOKUP($G18,$A$3:$E$73,2,0)</f>
        <v>8.65943713171545</v>
      </c>
      <c r="K18" s="76" t="n">
        <f aca="false">MIN(VLOOKUP($G18,'plafond sécu et CNAV'!$D$3:$F$74,3,0), 'Grilles et calculs individuels'!F19*VLOOKUP($G18,'données complémentaires'!$A$3:$D$73,4,0))*VLOOKUP($G18,$A$3:$E$73,4,0)/VLOOKUP($G18,$A$3:$E$73,2,0)</f>
        <v>8.65943713171545</v>
      </c>
      <c r="L18" s="76" t="n">
        <f aca="false">MIN(VLOOKUP($G18,'plafond sécu et CNAV'!$D$3:$F$74,3,0), 'Grilles et calculs individuels'!G19*VLOOKUP($G18,'données complémentaires'!$A$3:$D$73,4,0))*VLOOKUP($G18,$A$3:$E$73,4,0)/VLOOKUP($G18,$A$3:$E$73,2,0)</f>
        <v>6.64297027897253</v>
      </c>
      <c r="M18" s="76" t="n">
        <f aca="false">MIN(VLOOKUP($G18,'plafond sécu et CNAV'!$D$3:$F$74,3,0), 'Grilles et calculs individuels'!H19*VLOOKUP($G18,'données complémentaires'!$A$3:$D$73,4,0))*VLOOKUP($G18,$A$3:$E$73,4,0)/VLOOKUP($G18,$A$3:$E$73,2,0)</f>
        <v>6.64297027897253</v>
      </c>
      <c r="N18" s="76" t="n">
        <f aca="false">MIN(VLOOKUP($G18,'plafond sécu et CNAV'!$D$3:$F$74,3,0), 'Grilles et calculs individuels'!I19*VLOOKUP($G18,'données complémentaires'!$A$3:$D$73,4,0))*VLOOKUP($G18,$A$3:$E$73,4,0)/VLOOKUP($G18,$A$3:$E$73,2,0)</f>
        <v>6.27941239056773</v>
      </c>
      <c r="O18" s="76" t="n">
        <f aca="false">MIN(VLOOKUP($G18,'plafond sécu et CNAV'!$D$3:$F$74,3,0), 'Grilles et calculs individuels'!J19*VLOOKUP($G18,'données complémentaires'!$A$3:$D$73,4,0))*VLOOKUP($G18,$A$3:$E$73,4,0)/VLOOKUP($G18,$A$3:$E$73,2,0)</f>
        <v>8.65943713171545</v>
      </c>
    </row>
    <row r="19" customFormat="false" ht="12.8" hidden="false" customHeight="false" outlineLevel="0" collapsed="false">
      <c r="A19" s="0" t="n">
        <v>2024</v>
      </c>
      <c r="B19" s="56" t="n">
        <v>15.2589</v>
      </c>
      <c r="C19" s="4" t="n">
        <f aca="false">(B19-B20)/B20</f>
        <v>0</v>
      </c>
      <c r="D19" s="4" t="n">
        <f aca="false">0.061-'données complémentaires'!L19</f>
        <v>0.061</v>
      </c>
      <c r="E19" s="86" t="n">
        <f aca="false">0.16344-'données complémentaires'!L19</f>
        <v>0.16344</v>
      </c>
      <c r="G19" s="54" t="n">
        <f aca="false">'calculs agirc'!H19</f>
        <v>1998</v>
      </c>
      <c r="H19" s="76" t="n">
        <f aca="false">MIN(VLOOKUP($G19,'plafond sécu et CNAV'!$D$3:$F$74,3,0), 'Grilles et calculs individuels'!C20*VLOOKUP($G19,'données complémentaires'!$A$3:$D$73,4,0))*VLOOKUP($G19,$A$3:$E$73,4,0)/VLOOKUP($G19,$A$3:$E$73,2,0)</f>
        <v>8.64448043360592</v>
      </c>
      <c r="I19" s="76" t="n">
        <f aca="false">MIN(VLOOKUP($G19,'plafond sécu et CNAV'!$D$3:$F$74,3,0), 'Grilles et calculs individuels'!D20*VLOOKUP($G19,'données complémentaires'!$A$3:$D$73,4,0))*VLOOKUP($G19,$A$3:$E$73,4,0)/VLOOKUP($G19,$A$3:$E$73,2,0)</f>
        <v>9.53639379878779</v>
      </c>
      <c r="J19" s="76" t="n">
        <f aca="false">MIN(VLOOKUP($G19,'plafond sécu et CNAV'!$D$3:$F$74,3,0), 'Grilles et calculs individuels'!E20*VLOOKUP($G19,'données complémentaires'!$A$3:$D$73,4,0))*VLOOKUP($G19,$A$3:$E$73,4,0)/VLOOKUP($G19,$A$3:$E$73,2,0)</f>
        <v>9.53639379878779</v>
      </c>
      <c r="K19" s="76" t="n">
        <f aca="false">MIN(VLOOKUP($G19,'plafond sécu et CNAV'!$D$3:$F$74,3,0), 'Grilles et calculs individuels'!F20*VLOOKUP($G19,'données complémentaires'!$A$3:$D$73,4,0))*VLOOKUP($G19,$A$3:$E$73,4,0)/VLOOKUP($G19,$A$3:$E$73,2,0)</f>
        <v>9.53639379878779</v>
      </c>
      <c r="L19" s="76" t="n">
        <f aca="false">MIN(VLOOKUP($G19,'plafond sécu et CNAV'!$D$3:$F$74,3,0), 'Grilles et calculs individuels'!G20*VLOOKUP($G19,'données complémentaires'!$A$3:$D$73,4,0))*VLOOKUP($G19,$A$3:$E$73,4,0)/VLOOKUP($G19,$A$3:$E$73,2,0)</f>
        <v>7.25911685619281</v>
      </c>
      <c r="M19" s="76" t="n">
        <f aca="false">MIN(VLOOKUP($G19,'plafond sécu et CNAV'!$D$3:$F$74,3,0), 'Grilles et calculs individuels'!H20*VLOOKUP($G19,'données complémentaires'!$A$3:$D$73,4,0))*VLOOKUP($G19,$A$3:$E$73,4,0)/VLOOKUP($G19,$A$3:$E$73,2,0)</f>
        <v>7.25911685619281</v>
      </c>
      <c r="N19" s="76" t="n">
        <f aca="false">MIN(VLOOKUP($G19,'plafond sécu et CNAV'!$D$3:$F$74,3,0), 'Grilles et calculs individuels'!I20*VLOOKUP($G19,'données complémentaires'!$A$3:$D$73,4,0))*VLOOKUP($G19,$A$3:$E$73,4,0)/VLOOKUP($G19,$A$3:$E$73,2,0)</f>
        <v>7.01900791319438</v>
      </c>
      <c r="O19" s="76" t="n">
        <f aca="false">MIN(VLOOKUP($G19,'plafond sécu et CNAV'!$D$3:$F$74,3,0), 'Grilles et calculs individuels'!J20*VLOOKUP($G19,'données complémentaires'!$A$3:$D$73,4,0))*VLOOKUP($G19,$A$3:$E$73,4,0)/VLOOKUP($G19,$A$3:$E$73,2,0)</f>
        <v>9.53639379878779</v>
      </c>
    </row>
    <row r="20" customFormat="false" ht="12.8" hidden="false" customHeight="false" outlineLevel="0" collapsed="false">
      <c r="A20" s="0" t="n">
        <v>2023</v>
      </c>
      <c r="B20" s="56" t="n">
        <v>15.2589</v>
      </c>
      <c r="C20" s="4" t="n">
        <f aca="false">(B20-B21)/B21</f>
        <v>0</v>
      </c>
      <c r="D20" s="4" t="n">
        <f aca="false">0.061-'données complémentaires'!L20</f>
        <v>0.061</v>
      </c>
      <c r="E20" s="86" t="n">
        <f aca="false">0.16344-'données complémentaires'!L20</f>
        <v>0.16344</v>
      </c>
      <c r="G20" s="54" t="n">
        <f aca="false">'calculs agirc'!H20</f>
        <v>1997</v>
      </c>
      <c r="H20" s="76" t="n">
        <f aca="false">MIN(VLOOKUP($G20,'plafond sécu et CNAV'!$D$3:$F$74,3,0), 'Grilles et calculs individuels'!C21*VLOOKUP($G20,'données complémentaires'!$A$3:$D$73,4,0))*VLOOKUP($G20,$A$3:$E$73,4,0)/VLOOKUP($G20,$A$3:$E$73,2,0)</f>
        <v>9.3680664196474</v>
      </c>
      <c r="I20" s="76" t="n">
        <f aca="false">MIN(VLOOKUP($G20,'plafond sécu et CNAV'!$D$3:$F$74,3,0), 'Grilles et calculs individuels'!D21*VLOOKUP($G20,'données complémentaires'!$A$3:$D$73,4,0))*VLOOKUP($G20,$A$3:$E$73,4,0)/VLOOKUP($G20,$A$3:$E$73,2,0)</f>
        <v>10.1658560451519</v>
      </c>
      <c r="J20" s="76" t="n">
        <f aca="false">MIN(VLOOKUP($G20,'plafond sécu et CNAV'!$D$3:$F$74,3,0), 'Grilles et calculs individuels'!E21*VLOOKUP($G20,'données complémentaires'!$A$3:$D$73,4,0))*VLOOKUP($G20,$A$3:$E$73,4,0)/VLOOKUP($G20,$A$3:$E$73,2,0)</f>
        <v>10.1658560451519</v>
      </c>
      <c r="K20" s="76" t="n">
        <f aca="false">MIN(VLOOKUP($G20,'plafond sécu et CNAV'!$D$3:$F$74,3,0), 'Grilles et calculs individuels'!F21*VLOOKUP($G20,'données complémentaires'!$A$3:$D$73,4,0))*VLOOKUP($G20,$A$3:$E$73,4,0)/VLOOKUP($G20,$A$3:$E$73,2,0)</f>
        <v>10.1658560451519</v>
      </c>
      <c r="L20" s="76" t="n">
        <f aca="false">MIN(VLOOKUP($G20,'plafond sécu et CNAV'!$D$3:$F$74,3,0), 'Grilles et calculs individuels'!G21*VLOOKUP($G20,'données complémentaires'!$A$3:$D$73,4,0))*VLOOKUP($G20,$A$3:$E$73,4,0)/VLOOKUP($G20,$A$3:$E$73,2,0)</f>
        <v>7.86674102383611</v>
      </c>
      <c r="M20" s="76" t="n">
        <f aca="false">MIN(VLOOKUP($G20,'plafond sécu et CNAV'!$D$3:$F$74,3,0), 'Grilles et calculs individuels'!H21*VLOOKUP($G20,'données complémentaires'!$A$3:$D$73,4,0))*VLOOKUP($G20,$A$3:$E$73,4,0)/VLOOKUP($G20,$A$3:$E$73,2,0)</f>
        <v>7.86674102383611</v>
      </c>
      <c r="N20" s="76" t="n">
        <f aca="false">MIN(VLOOKUP($G20,'plafond sécu et CNAV'!$D$3:$F$74,3,0), 'Grilles et calculs individuels'!I21*VLOOKUP($G20,'données complémentaires'!$A$3:$D$73,4,0))*VLOOKUP($G20,$A$3:$E$73,4,0)/VLOOKUP($G20,$A$3:$E$73,2,0)</f>
        <v>7.60653376867059</v>
      </c>
      <c r="O20" s="76" t="n">
        <f aca="false">MIN(VLOOKUP($G20,'plafond sécu et CNAV'!$D$3:$F$74,3,0), 'Grilles et calculs individuels'!J21*VLOOKUP($G20,'données complémentaires'!$A$3:$D$73,4,0))*VLOOKUP($G20,$A$3:$E$73,4,0)/VLOOKUP($G20,$A$3:$E$73,2,0)</f>
        <v>10.1658560451519</v>
      </c>
    </row>
    <row r="21" customFormat="false" ht="12.8" hidden="false" customHeight="false" outlineLevel="0" collapsed="false">
      <c r="A21" s="0" t="n">
        <v>2022</v>
      </c>
      <c r="B21" s="56" t="n">
        <v>15.2589</v>
      </c>
      <c r="C21" s="4" t="n">
        <f aca="false">(B21-B22)/B22</f>
        <v>0</v>
      </c>
      <c r="D21" s="4" t="n">
        <f aca="false">0.061-'données complémentaires'!L21</f>
        <v>0.061</v>
      </c>
      <c r="E21" s="86" t="n">
        <f aca="false">0.16344-'données complémentaires'!L21</f>
        <v>0.16344</v>
      </c>
      <c r="G21" s="54" t="n">
        <f aca="false">'calculs agirc'!H21</f>
        <v>1996</v>
      </c>
      <c r="H21" s="76" t="n">
        <f aca="false">MIN(VLOOKUP($G21,'plafond sécu et CNAV'!$D$3:$F$74,3,0), 'Grilles et calculs individuels'!C22*VLOOKUP($G21,'données complémentaires'!$A$3:$D$73,4,0))*VLOOKUP($G21,$A$3:$E$73,4,0)/VLOOKUP($G21,$A$3:$E$73,2,0)</f>
        <v>10.3124810263829</v>
      </c>
      <c r="I21" s="76" t="n">
        <f aca="false">MIN(VLOOKUP($G21,'plafond sécu et CNAV'!$D$3:$F$74,3,0), 'Grilles et calculs individuels'!D22*VLOOKUP($G21,'données complémentaires'!$A$3:$D$73,4,0))*VLOOKUP($G21,$A$3:$E$73,4,0)/VLOOKUP($G21,$A$3:$E$73,2,0)</f>
        <v>11.0167832457647</v>
      </c>
      <c r="J21" s="76" t="n">
        <f aca="false">MIN(VLOOKUP($G21,'plafond sécu et CNAV'!$D$3:$F$74,3,0), 'Grilles et calculs individuels'!E22*VLOOKUP($G21,'données complémentaires'!$A$3:$D$73,4,0))*VLOOKUP($G21,$A$3:$E$73,4,0)/VLOOKUP($G21,$A$3:$E$73,2,0)</f>
        <v>11.0167832457647</v>
      </c>
      <c r="K21" s="76" t="n">
        <f aca="false">MIN(VLOOKUP($G21,'plafond sécu et CNAV'!$D$3:$F$74,3,0), 'Grilles et calculs individuels'!F22*VLOOKUP($G21,'données complémentaires'!$A$3:$D$73,4,0))*VLOOKUP($G21,$A$3:$E$73,4,0)/VLOOKUP($G21,$A$3:$E$73,2,0)</f>
        <v>11.0167832457647</v>
      </c>
      <c r="L21" s="76" t="n">
        <f aca="false">MIN(VLOOKUP($G21,'plafond sécu et CNAV'!$D$3:$F$74,3,0), 'Grilles et calculs individuels'!G22*VLOOKUP($G21,'données complémentaires'!$A$3:$D$73,4,0))*VLOOKUP($G21,$A$3:$E$73,4,0)/VLOOKUP($G21,$A$3:$E$73,2,0)</f>
        <v>8.65980383931047</v>
      </c>
      <c r="M21" s="76" t="n">
        <f aca="false">MIN(VLOOKUP($G21,'plafond sécu et CNAV'!$D$3:$F$74,3,0), 'Grilles et calculs individuels'!H22*VLOOKUP($G21,'données complémentaires'!$A$3:$D$73,4,0))*VLOOKUP($G21,$A$3:$E$73,4,0)/VLOOKUP($G21,$A$3:$E$73,2,0)</f>
        <v>8.65980383931047</v>
      </c>
      <c r="N21" s="76" t="n">
        <f aca="false">MIN(VLOOKUP($G21,'plafond sécu et CNAV'!$D$3:$F$74,3,0), 'Grilles et calculs individuels'!I22*VLOOKUP($G21,'données complémentaires'!$A$3:$D$73,4,0))*VLOOKUP($G21,$A$3:$E$73,4,0)/VLOOKUP($G21,$A$3:$E$73,2,0)</f>
        <v>8.1750604095846</v>
      </c>
      <c r="O21" s="76" t="n">
        <f aca="false">MIN(VLOOKUP($G21,'plafond sécu et CNAV'!$D$3:$F$74,3,0), 'Grilles et calculs individuels'!J22*VLOOKUP($G21,'données complémentaires'!$A$3:$D$73,4,0))*VLOOKUP($G21,$A$3:$E$73,4,0)/VLOOKUP($G21,$A$3:$E$73,2,0)</f>
        <v>11.0167832457647</v>
      </c>
    </row>
    <row r="22" customFormat="false" ht="12.8" hidden="false" customHeight="false" outlineLevel="0" collapsed="false">
      <c r="A22" s="0" t="n">
        <v>2021</v>
      </c>
      <c r="B22" s="56" t="n">
        <v>15.2589</v>
      </c>
      <c r="C22" s="4" t="n">
        <f aca="false">(B22-B23)/B23</f>
        <v>0</v>
      </c>
      <c r="D22" s="4" t="n">
        <f aca="false">0.061-'données complémentaires'!L22</f>
        <v>0.061</v>
      </c>
      <c r="E22" s="86" t="n">
        <f aca="false">0.16344-'données complémentaires'!L22</f>
        <v>0.16344</v>
      </c>
      <c r="G22" s="54" t="n">
        <f aca="false">'calculs agirc'!H22</f>
        <v>1995</v>
      </c>
      <c r="H22" s="76" t="n">
        <f aca="false">MIN(VLOOKUP($G22,'plafond sécu et CNAV'!$D$3:$F$74,3,0), 'Grilles et calculs individuels'!C23*VLOOKUP($G22,'données complémentaires'!$A$3:$D$73,4,0))*VLOOKUP($G22,$A$3:$E$73,4,0)/VLOOKUP($G22,$A$3:$E$73,2,0)</f>
        <v>10.4424622270618</v>
      </c>
      <c r="I22" s="76" t="n">
        <f aca="false">MIN(VLOOKUP($G22,'plafond sécu et CNAV'!$D$3:$F$74,3,0), 'Grilles et calculs individuels'!D23*VLOOKUP($G22,'données complémentaires'!$A$3:$D$73,4,0))*VLOOKUP($G22,$A$3:$E$73,4,0)/VLOOKUP($G22,$A$3:$E$73,2,0)</f>
        <v>11.4804759475734</v>
      </c>
      <c r="J22" s="76" t="n">
        <f aca="false">MIN(VLOOKUP($G22,'plafond sécu et CNAV'!$D$3:$F$74,3,0), 'Grilles et calculs individuels'!E23*VLOOKUP($G22,'données complémentaires'!$A$3:$D$73,4,0))*VLOOKUP($G22,$A$3:$E$73,4,0)/VLOOKUP($G22,$A$3:$E$73,2,0)</f>
        <v>11.4804759475734</v>
      </c>
      <c r="K22" s="76" t="n">
        <f aca="false">MIN(VLOOKUP($G22,'plafond sécu et CNAV'!$D$3:$F$74,3,0), 'Grilles et calculs individuels'!F23*VLOOKUP($G22,'données complémentaires'!$A$3:$D$73,4,0))*VLOOKUP($G22,$A$3:$E$73,4,0)/VLOOKUP($G22,$A$3:$E$73,2,0)</f>
        <v>11.4804759475734</v>
      </c>
      <c r="L22" s="76" t="n">
        <f aca="false">MIN(VLOOKUP($G22,'plafond sécu et CNAV'!$D$3:$F$74,3,0), 'Grilles et calculs individuels'!G23*VLOOKUP($G22,'données complémentaires'!$A$3:$D$73,4,0))*VLOOKUP($G22,$A$3:$E$73,4,0)/VLOOKUP($G22,$A$3:$E$73,2,0)</f>
        <v>9.22219507812951</v>
      </c>
      <c r="M22" s="76" t="n">
        <f aca="false">MIN(VLOOKUP($G22,'plafond sécu et CNAV'!$D$3:$F$74,3,0), 'Grilles et calculs individuels'!H23*VLOOKUP($G22,'données complémentaires'!$A$3:$D$73,4,0))*VLOOKUP($G22,$A$3:$E$73,4,0)/VLOOKUP($G22,$A$3:$E$73,2,0)</f>
        <v>9.22219507812951</v>
      </c>
      <c r="N22" s="76" t="n">
        <f aca="false">MIN(VLOOKUP($G22,'plafond sécu et CNAV'!$D$3:$F$74,3,0), 'Grilles et calculs individuels'!I23*VLOOKUP($G22,'données complémentaires'!$A$3:$D$73,4,0))*VLOOKUP($G22,$A$3:$E$73,4,0)/VLOOKUP($G22,$A$3:$E$73,2,0)</f>
        <v>8.7059710902973</v>
      </c>
      <c r="O22" s="76" t="n">
        <f aca="false">MIN(VLOOKUP($G22,'plafond sécu et CNAV'!$D$3:$F$74,3,0), 'Grilles et calculs individuels'!J23*VLOOKUP($G22,'données complémentaires'!$A$3:$D$73,4,0))*VLOOKUP($G22,$A$3:$E$73,4,0)/VLOOKUP($G22,$A$3:$E$73,2,0)</f>
        <v>11.4804759475734</v>
      </c>
    </row>
    <row r="23" customFormat="false" ht="12.8" hidden="false" customHeight="false" outlineLevel="0" collapsed="false">
      <c r="A23" s="0" t="n">
        <v>2020</v>
      </c>
      <c r="B23" s="56" t="n">
        <v>15.2589</v>
      </c>
      <c r="C23" s="4" t="n">
        <f aca="false">(B23-B24)/B24</f>
        <v>0</v>
      </c>
      <c r="D23" s="4" t="n">
        <f aca="false">0.061-'données complémentaires'!L23</f>
        <v>0.061</v>
      </c>
      <c r="E23" s="86" t="n">
        <f aca="false">0.16344-'données complémentaires'!L23</f>
        <v>0.16344</v>
      </c>
      <c r="G23" s="54" t="n">
        <f aca="false">'calculs agirc'!H23</f>
        <v>1994</v>
      </c>
      <c r="H23" s="76" t="n">
        <f aca="false">MIN(VLOOKUP($G23,'plafond sécu et CNAV'!$D$3:$F$74,3,0), 'Grilles et calculs individuels'!C24*VLOOKUP($G23,'données complémentaires'!$A$3:$D$73,4,0))*VLOOKUP($G23,$A$3:$E$73,4,0)/VLOOKUP($G23,$A$3:$E$73,2,0)</f>
        <v>10.4282151379298</v>
      </c>
      <c r="I23" s="76" t="n">
        <f aca="false">MIN(VLOOKUP($G23,'plafond sécu et CNAV'!$D$3:$F$74,3,0), 'Grilles et calculs individuels'!D24*VLOOKUP($G23,'données complémentaires'!$A$3:$D$73,4,0))*VLOOKUP($G23,$A$3:$E$73,4,0)/VLOOKUP($G23,$A$3:$E$73,2,0)</f>
        <v>11.5663454490857</v>
      </c>
      <c r="J23" s="76" t="n">
        <f aca="false">MIN(VLOOKUP($G23,'plafond sécu et CNAV'!$D$3:$F$74,3,0), 'Grilles et calculs individuels'!E24*VLOOKUP($G23,'données complémentaires'!$A$3:$D$73,4,0))*VLOOKUP($G23,$A$3:$E$73,4,0)/VLOOKUP($G23,$A$3:$E$73,2,0)</f>
        <v>11.5663454490857</v>
      </c>
      <c r="K23" s="76" t="n">
        <f aca="false">MIN(VLOOKUP($G23,'plafond sécu et CNAV'!$D$3:$F$74,3,0), 'Grilles et calculs individuels'!F24*VLOOKUP($G23,'données complémentaires'!$A$3:$D$73,4,0))*VLOOKUP($G23,$A$3:$E$73,4,0)/VLOOKUP($G23,$A$3:$E$73,2,0)</f>
        <v>11.5663454490857</v>
      </c>
      <c r="L23" s="76" t="n">
        <f aca="false">MIN(VLOOKUP($G23,'plafond sécu et CNAV'!$D$3:$F$74,3,0), 'Grilles et calculs individuels'!G24*VLOOKUP($G23,'données complémentaires'!$A$3:$D$73,4,0))*VLOOKUP($G23,$A$3:$E$73,4,0)/VLOOKUP($G23,$A$3:$E$73,2,0)</f>
        <v>8.90498758412546</v>
      </c>
      <c r="M23" s="76" t="n">
        <f aca="false">MIN(VLOOKUP($G23,'plafond sécu et CNAV'!$D$3:$F$74,3,0), 'Grilles et calculs individuels'!H24*VLOOKUP($G23,'données complémentaires'!$A$3:$D$73,4,0))*VLOOKUP($G23,$A$3:$E$73,4,0)/VLOOKUP($G23,$A$3:$E$73,2,0)</f>
        <v>8.90498758412546</v>
      </c>
      <c r="N23" s="76" t="n">
        <f aca="false">MIN(VLOOKUP($G23,'plafond sécu et CNAV'!$D$3:$F$74,3,0), 'Grilles et calculs individuels'!I24*VLOOKUP($G23,'données complémentaires'!$A$3:$D$73,4,0))*VLOOKUP($G23,$A$3:$E$73,4,0)/VLOOKUP($G23,$A$3:$E$73,2,0)</f>
        <v>8.69409316884478</v>
      </c>
      <c r="O23" s="76" t="n">
        <f aca="false">MIN(VLOOKUP($G23,'plafond sécu et CNAV'!$D$3:$F$74,3,0), 'Grilles et calculs individuels'!J24*VLOOKUP($G23,'données complémentaires'!$A$3:$D$73,4,0))*VLOOKUP($G23,$A$3:$E$73,4,0)/VLOOKUP($G23,$A$3:$E$73,2,0)</f>
        <v>11.5663454490857</v>
      </c>
    </row>
    <row r="24" customFormat="false" ht="12.8" hidden="false" customHeight="false" outlineLevel="0" collapsed="false">
      <c r="A24" s="0" t="n">
        <v>2019</v>
      </c>
      <c r="B24" s="56" t="n">
        <v>15.2589</v>
      </c>
      <c r="C24" s="4" t="n">
        <f aca="false">(B24-B25)/B25</f>
        <v>0</v>
      </c>
      <c r="D24" s="4" t="n">
        <f aca="false">0.061-'données complémentaires'!L24</f>
        <v>0.0583</v>
      </c>
      <c r="E24" s="86" t="n">
        <f aca="false">0.16344-'données complémentaires'!L24</f>
        <v>0.16074</v>
      </c>
      <c r="G24" s="54" t="n">
        <f aca="false">'calculs agirc'!H24</f>
        <v>1993</v>
      </c>
      <c r="H24" s="76" t="n">
        <f aca="false">MIN(VLOOKUP($G24,'plafond sécu et CNAV'!$D$3:$F$74,3,0), 'Grilles et calculs individuels'!C25*VLOOKUP($G24,'données complémentaires'!$A$3:$D$73,4,0))*VLOOKUP($G24,$A$3:$E$73,4,0)/VLOOKUP($G24,$A$3:$E$73,2,0)</f>
        <v>10.4385334531828</v>
      </c>
      <c r="I24" s="76" t="n">
        <f aca="false">MIN(VLOOKUP($G24,'plafond sécu et CNAV'!$D$3:$F$74,3,0), 'Grilles et calculs individuels'!D25*VLOOKUP($G24,'données complémentaires'!$A$3:$D$73,4,0))*VLOOKUP($G24,$A$3:$E$73,4,0)/VLOOKUP($G24,$A$3:$E$73,2,0)</f>
        <v>11.4634748175542</v>
      </c>
      <c r="J24" s="76" t="n">
        <f aca="false">MIN(VLOOKUP($G24,'plafond sécu et CNAV'!$D$3:$F$74,3,0), 'Grilles et calculs individuels'!E25*VLOOKUP($G24,'données complémentaires'!$A$3:$D$73,4,0))*VLOOKUP($G24,$A$3:$E$73,4,0)/VLOOKUP($G24,$A$3:$E$73,2,0)</f>
        <v>11.4634748175542</v>
      </c>
      <c r="K24" s="76" t="n">
        <f aca="false">MIN(VLOOKUP($G24,'plafond sécu et CNAV'!$D$3:$F$74,3,0), 'Grilles et calculs individuels'!F25*VLOOKUP($G24,'données complémentaires'!$A$3:$D$73,4,0))*VLOOKUP($G24,$A$3:$E$73,4,0)/VLOOKUP($G24,$A$3:$E$73,2,0)</f>
        <v>11.4634748175542</v>
      </c>
      <c r="L24" s="76" t="n">
        <f aca="false">MIN(VLOOKUP($G24,'plafond sécu et CNAV'!$D$3:$F$74,3,0), 'Grilles et calculs individuels'!G25*VLOOKUP($G24,'données complémentaires'!$A$3:$D$73,4,0))*VLOOKUP($G24,$A$3:$E$73,4,0)/VLOOKUP($G24,$A$3:$E$73,2,0)</f>
        <v>8.91379872467078</v>
      </c>
      <c r="M24" s="76" t="n">
        <f aca="false">MIN(VLOOKUP($G24,'plafond sécu et CNAV'!$D$3:$F$74,3,0), 'Grilles et calculs individuels'!H25*VLOOKUP($G24,'données complémentaires'!$A$3:$D$73,4,0))*VLOOKUP($G24,$A$3:$E$73,4,0)/VLOOKUP($G24,$A$3:$E$73,2,0)</f>
        <v>8.91379872467078</v>
      </c>
      <c r="N24" s="76" t="n">
        <f aca="false">MIN(VLOOKUP($G24,'plafond sécu et CNAV'!$D$3:$F$74,3,0), 'Grilles et calculs individuels'!I25*VLOOKUP($G24,'données complémentaires'!$A$3:$D$73,4,0))*VLOOKUP($G24,$A$3:$E$73,4,0)/VLOOKUP($G24,$A$3:$E$73,2,0)</f>
        <v>8.32735059969968</v>
      </c>
      <c r="O24" s="76" t="n">
        <f aca="false">MIN(VLOOKUP($G24,'plafond sécu et CNAV'!$D$3:$F$74,3,0), 'Grilles et calculs individuels'!J25*VLOOKUP($G24,'données complémentaires'!$A$3:$D$73,4,0))*VLOOKUP($G24,$A$3:$E$73,4,0)/VLOOKUP($G24,$A$3:$E$73,2,0)</f>
        <v>11.4634748175542</v>
      </c>
    </row>
    <row r="25" customFormat="false" ht="12.8" hidden="false" customHeight="false" outlineLevel="0" collapsed="false">
      <c r="A25" s="0" t="n">
        <v>2018</v>
      </c>
      <c r="B25" s="56" t="n">
        <v>15.2589</v>
      </c>
      <c r="C25" s="4" t="n">
        <f aca="false">(B25-B26)/B26</f>
        <v>0</v>
      </c>
      <c r="D25" s="4" t="n">
        <f aca="false">0.061-'données complémentaires'!L25</f>
        <v>0.0556</v>
      </c>
      <c r="E25" s="86" t="n">
        <f aca="false">0.16344-'données complémentaires'!L25</f>
        <v>0.15804</v>
      </c>
      <c r="G25" s="54" t="n">
        <f aca="false">'calculs agirc'!H25</f>
        <v>1992</v>
      </c>
      <c r="H25" s="76" t="n">
        <f aca="false">MIN(VLOOKUP($G25,'plafond sécu et CNAV'!$D$3:$F$74,3,0), 'Grilles et calculs individuels'!C26*VLOOKUP($G25,'données complémentaires'!$A$3:$D$73,4,0))*VLOOKUP($G25,$A$3:$E$73,4,0)/VLOOKUP($G25,$A$3:$E$73,2,0)</f>
        <v>10.6824817586304</v>
      </c>
      <c r="I25" s="76" t="n">
        <f aca="false">MIN(VLOOKUP($G25,'plafond sécu et CNAV'!$D$3:$F$74,3,0), 'Grilles et calculs individuels'!D26*VLOOKUP($G25,'données complémentaires'!$A$3:$D$73,4,0))*VLOOKUP($G25,$A$3:$E$73,4,0)/VLOOKUP($G25,$A$3:$E$73,2,0)</f>
        <v>11.5891599695783</v>
      </c>
      <c r="J25" s="76" t="n">
        <f aca="false">MIN(VLOOKUP($G25,'plafond sécu et CNAV'!$D$3:$F$74,3,0), 'Grilles et calculs individuels'!E26*VLOOKUP($G25,'données complémentaires'!$A$3:$D$73,4,0))*VLOOKUP($G25,$A$3:$E$73,4,0)/VLOOKUP($G25,$A$3:$E$73,2,0)</f>
        <v>11.5891599695783</v>
      </c>
      <c r="K25" s="76" t="n">
        <f aca="false">MIN(VLOOKUP($G25,'plafond sécu et CNAV'!$D$3:$F$74,3,0), 'Grilles et calculs individuels'!F26*VLOOKUP($G25,'données complémentaires'!$A$3:$D$73,4,0))*VLOOKUP($G25,$A$3:$E$73,4,0)/VLOOKUP($G25,$A$3:$E$73,2,0)</f>
        <v>11.5891599695783</v>
      </c>
      <c r="L25" s="76" t="n">
        <f aca="false">MIN(VLOOKUP($G25,'plafond sécu et CNAV'!$D$3:$F$74,3,0), 'Grilles et calculs individuels'!G26*VLOOKUP($G25,'données complémentaires'!$A$3:$D$73,4,0))*VLOOKUP($G25,$A$3:$E$73,4,0)/VLOOKUP($G25,$A$3:$E$73,2,0)</f>
        <v>9.12211401184569</v>
      </c>
      <c r="M25" s="76" t="n">
        <f aca="false">MIN(VLOOKUP($G25,'plafond sécu et CNAV'!$D$3:$F$74,3,0), 'Grilles et calculs individuels'!H26*VLOOKUP($G25,'données complémentaires'!$A$3:$D$73,4,0))*VLOOKUP($G25,$A$3:$E$73,4,0)/VLOOKUP($G25,$A$3:$E$73,2,0)</f>
        <v>9.12211401184569</v>
      </c>
      <c r="N25" s="76" t="n">
        <f aca="false">MIN(VLOOKUP($G25,'plafond sécu et CNAV'!$D$3:$F$74,3,0), 'Grilles et calculs individuels'!I26*VLOOKUP($G25,'données complémentaires'!$A$3:$D$73,4,0))*VLOOKUP($G25,$A$3:$E$73,4,0)/VLOOKUP($G25,$A$3:$E$73,2,0)</f>
        <v>8.52196060662989</v>
      </c>
      <c r="O25" s="76" t="n">
        <f aca="false">MIN(VLOOKUP($G25,'plafond sécu et CNAV'!$D$3:$F$74,3,0), 'Grilles et calculs individuels'!J26*VLOOKUP($G25,'données complémentaires'!$A$3:$D$73,4,0))*VLOOKUP($G25,$A$3:$E$73,4,0)/VLOOKUP($G25,$A$3:$E$73,2,0)</f>
        <v>11.5891599695783</v>
      </c>
    </row>
    <row r="26" customFormat="false" ht="12.8" hidden="false" customHeight="false" outlineLevel="0" collapsed="false">
      <c r="A26" s="0" t="n">
        <v>2017</v>
      </c>
      <c r="B26" s="56" t="n">
        <v>15.2589</v>
      </c>
      <c r="C26" s="4" t="n">
        <f aca="false">(B26-B27)/B27</f>
        <v>0</v>
      </c>
      <c r="D26" s="4" t="n">
        <f aca="false">0.061-'données complémentaires'!L26</f>
        <v>0.0529</v>
      </c>
      <c r="E26" s="86" t="n">
        <f aca="false">0.16344-'données complémentaires'!L26</f>
        <v>0.15534</v>
      </c>
      <c r="G26" s="54" t="n">
        <f aca="false">'calculs agirc'!H26</f>
        <v>1991</v>
      </c>
      <c r="H26" s="76" t="n">
        <f aca="false">MIN(VLOOKUP($G26,'plafond sécu et CNAV'!$D$3:$F$74,3,0), 'Grilles et calculs individuels'!C27*VLOOKUP($G26,'données complémentaires'!$A$3:$D$73,4,0))*VLOOKUP($G26,$A$3:$E$73,4,0)/VLOOKUP($G26,$A$3:$E$73,2,0)</f>
        <v>10.165775877556</v>
      </c>
      <c r="I26" s="76" t="n">
        <f aca="false">MIN(VLOOKUP($G26,'plafond sécu et CNAV'!$D$3:$F$74,3,0), 'Grilles et calculs individuels'!D27*VLOOKUP($G26,'données complémentaires'!$A$3:$D$73,4,0))*VLOOKUP($G26,$A$3:$E$73,4,0)/VLOOKUP($G26,$A$3:$E$73,2,0)</f>
        <v>11.3362964495174</v>
      </c>
      <c r="J26" s="76" t="n">
        <f aca="false">MIN(VLOOKUP($G26,'plafond sécu et CNAV'!$D$3:$F$74,3,0), 'Grilles et calculs individuels'!E27*VLOOKUP($G26,'données complémentaires'!$A$3:$D$73,4,0))*VLOOKUP($G26,$A$3:$E$73,4,0)/VLOOKUP($G26,$A$3:$E$73,2,0)</f>
        <v>11.3362964495174</v>
      </c>
      <c r="K26" s="76" t="n">
        <f aca="false">MIN(VLOOKUP($G26,'plafond sécu et CNAV'!$D$3:$F$74,3,0), 'Grilles et calculs individuels'!F27*VLOOKUP($G26,'données complémentaires'!$A$3:$D$73,4,0))*VLOOKUP($G26,$A$3:$E$73,4,0)/VLOOKUP($G26,$A$3:$E$73,2,0)</f>
        <v>11.3362964495174</v>
      </c>
      <c r="L26" s="76" t="n">
        <f aca="false">MIN(VLOOKUP($G26,'plafond sécu et CNAV'!$D$3:$F$74,3,0), 'Grilles et calculs individuels'!G27*VLOOKUP($G26,'données complémentaires'!$A$3:$D$73,4,0))*VLOOKUP($G26,$A$3:$E$73,4,0)/VLOOKUP($G26,$A$3:$E$73,2,0)</f>
        <v>9.08941358642518</v>
      </c>
      <c r="M26" s="76" t="n">
        <f aca="false">MIN(VLOOKUP($G26,'plafond sécu et CNAV'!$D$3:$F$74,3,0), 'Grilles et calculs individuels'!H27*VLOOKUP($G26,'données complémentaires'!$A$3:$D$73,4,0))*VLOOKUP($G26,$A$3:$E$73,4,0)/VLOOKUP($G26,$A$3:$E$73,2,0)</f>
        <v>9.08941358642518</v>
      </c>
      <c r="N26" s="76" t="n">
        <f aca="false">MIN(VLOOKUP($G26,'plafond sécu et CNAV'!$D$3:$F$74,3,0), 'Grilles et calculs individuels'!I27*VLOOKUP($G26,'données complémentaires'!$A$3:$D$73,4,0))*VLOOKUP($G26,$A$3:$E$73,4,0)/VLOOKUP($G26,$A$3:$E$73,2,0)</f>
        <v>8.49141157634022</v>
      </c>
      <c r="O26" s="76" t="n">
        <f aca="false">MIN(VLOOKUP($G26,'plafond sécu et CNAV'!$D$3:$F$74,3,0), 'Grilles et calculs individuels'!J27*VLOOKUP($G26,'données complémentaires'!$A$3:$D$73,4,0))*VLOOKUP($G26,$A$3:$E$73,4,0)/VLOOKUP($G26,$A$3:$E$73,2,0)</f>
        <v>11.3362964495174</v>
      </c>
    </row>
    <row r="27" customFormat="false" ht="12.8" hidden="false" customHeight="false" outlineLevel="0" collapsed="false">
      <c r="A27" s="0" t="n">
        <v>2016</v>
      </c>
      <c r="B27" s="56" t="n">
        <v>15.2589</v>
      </c>
      <c r="C27" s="4" t="n">
        <f aca="false">(B27-B28)/B28</f>
        <v>0</v>
      </c>
      <c r="D27" s="4" t="n">
        <f aca="false">0.061-'données complémentaires'!L27</f>
        <v>0.0494</v>
      </c>
      <c r="E27" s="86" t="n">
        <f aca="false">0.16344-'données complémentaires'!L27</f>
        <v>0.15184</v>
      </c>
      <c r="G27" s="54" t="n">
        <f aca="false">'calculs agirc'!H27</f>
        <v>1990</v>
      </c>
      <c r="H27" s="76" t="n">
        <f aca="false">MIN(VLOOKUP($G27,'plafond sécu et CNAV'!$D$3:$F$74,3,0), 'Grilles et calculs individuels'!C28*VLOOKUP($G27,'données complémentaires'!$A$3:$D$73,4,0))*VLOOKUP($G27,$A$3:$E$73,4,0)/VLOOKUP($G27,$A$3:$E$73,2,0)</f>
        <v>12.3081954527559</v>
      </c>
      <c r="I27" s="76" t="n">
        <f aca="false">MIN(VLOOKUP($G27,'plafond sécu et CNAV'!$D$3:$F$74,3,0), 'Grilles et calculs individuels'!D28*VLOOKUP($G27,'données complémentaires'!$A$3:$D$73,4,0))*VLOOKUP($G27,$A$3:$E$73,4,0)/VLOOKUP($G27,$A$3:$E$73,2,0)</f>
        <v>13.2926981962385</v>
      </c>
      <c r="J27" s="76" t="n">
        <f aca="false">MIN(VLOOKUP($G27,'plafond sécu et CNAV'!$D$3:$F$74,3,0), 'Grilles et calculs individuels'!E28*VLOOKUP($G27,'données complémentaires'!$A$3:$D$73,4,0))*VLOOKUP($G27,$A$3:$E$73,4,0)/VLOOKUP($G27,$A$3:$E$73,2,0)</f>
        <v>13.2926981962385</v>
      </c>
      <c r="K27" s="76" t="n">
        <f aca="false">MIN(VLOOKUP($G27,'plafond sécu et CNAV'!$D$3:$F$74,3,0), 'Grilles et calculs individuels'!F28*VLOOKUP($G27,'données complémentaires'!$A$3:$D$73,4,0))*VLOOKUP($G27,$A$3:$E$73,4,0)/VLOOKUP($G27,$A$3:$E$73,2,0)</f>
        <v>13.2926981962385</v>
      </c>
      <c r="L27" s="76" t="n">
        <f aca="false">MIN(VLOOKUP($G27,'plafond sécu et CNAV'!$D$3:$F$74,3,0), 'Grilles et calculs individuels'!G28*VLOOKUP($G27,'données complémentaires'!$A$3:$D$73,4,0))*VLOOKUP($G27,$A$3:$E$73,4,0)/VLOOKUP($G27,$A$3:$E$73,2,0)</f>
        <v>10.7443634368948</v>
      </c>
      <c r="M27" s="76" t="n">
        <f aca="false">MIN(VLOOKUP($G27,'plafond sécu et CNAV'!$D$3:$F$74,3,0), 'Grilles et calculs individuels'!H28*VLOOKUP($G27,'données complémentaires'!$A$3:$D$73,4,0))*VLOOKUP($G27,$A$3:$E$73,4,0)/VLOOKUP($G27,$A$3:$E$73,2,0)</f>
        <v>10.7443634368948</v>
      </c>
      <c r="N27" s="76" t="n">
        <f aca="false">MIN(VLOOKUP($G27,'plafond sécu et CNAV'!$D$3:$F$74,3,0), 'Grilles et calculs individuels'!I28*VLOOKUP($G27,'données complémentaires'!$A$3:$D$73,4,0))*VLOOKUP($G27,$A$3:$E$73,4,0)/VLOOKUP($G27,$A$3:$E$73,2,0)</f>
        <v>9.87554007440524</v>
      </c>
      <c r="O27" s="76" t="n">
        <f aca="false">MIN(VLOOKUP($G27,'plafond sécu et CNAV'!$D$3:$F$74,3,0), 'Grilles et calculs individuels'!J28*VLOOKUP($G27,'données complémentaires'!$A$3:$D$73,4,0))*VLOOKUP($G27,$A$3:$E$73,4,0)/VLOOKUP($G27,$A$3:$E$73,2,0)</f>
        <v>13.2926981962385</v>
      </c>
    </row>
    <row r="28" customFormat="false" ht="12.8" hidden="false" customHeight="false" outlineLevel="0" collapsed="false">
      <c r="A28" s="0" t="n">
        <v>2015</v>
      </c>
      <c r="B28" s="56" t="n">
        <v>15.2589</v>
      </c>
      <c r="C28" s="4" t="n">
        <f aca="false">(B28-B29)/B29</f>
        <v>0</v>
      </c>
      <c r="D28" s="4" t="n">
        <f aca="false">0.061-'données complémentaires'!L28</f>
        <v>0.0459</v>
      </c>
      <c r="E28" s="86" t="n">
        <f aca="false">0.16344-'données complémentaires'!L28</f>
        <v>0.14834</v>
      </c>
      <c r="G28" s="54" t="n">
        <f aca="false">'calculs agirc'!H28</f>
        <v>1989</v>
      </c>
      <c r="H28" s="76" t="n">
        <f aca="false">MIN(VLOOKUP($G28,'plafond sécu et CNAV'!$D$3:$F$74,3,0), 'Grilles et calculs individuels'!C29*VLOOKUP($G28,'données complémentaires'!$A$3:$D$73,4,0))*VLOOKUP($G28,$A$3:$E$73,4,0)/VLOOKUP($G28,$A$3:$E$73,2,0)</f>
        <v>10.5171638211441</v>
      </c>
      <c r="I28" s="76" t="n">
        <f aca="false">MIN(VLOOKUP($G28,'plafond sécu et CNAV'!$D$3:$F$74,3,0), 'Grilles et calculs individuels'!D29*VLOOKUP($G28,'données complémentaires'!$A$3:$D$73,4,0))*VLOOKUP($G28,$A$3:$E$73,4,0)/VLOOKUP($G28,$A$3:$E$73,2,0)</f>
        <v>11.1297956338227</v>
      </c>
      <c r="J28" s="76" t="n">
        <f aca="false">MIN(VLOOKUP($G28,'plafond sécu et CNAV'!$D$3:$F$74,3,0), 'Grilles et calculs individuels'!E29*VLOOKUP($G28,'données complémentaires'!$A$3:$D$73,4,0))*VLOOKUP($G28,$A$3:$E$73,4,0)/VLOOKUP($G28,$A$3:$E$73,2,0)</f>
        <v>11.1297956338227</v>
      </c>
      <c r="K28" s="76" t="n">
        <f aca="false">MIN(VLOOKUP($G28,'plafond sécu et CNAV'!$D$3:$F$74,3,0), 'Grilles et calculs individuels'!F29*VLOOKUP($G28,'données complémentaires'!$A$3:$D$73,4,0))*VLOOKUP($G28,$A$3:$E$73,4,0)/VLOOKUP($G28,$A$3:$E$73,2,0)</f>
        <v>11.1297956338227</v>
      </c>
      <c r="L28" s="76" t="n">
        <f aca="false">MIN(VLOOKUP($G28,'plafond sécu et CNAV'!$D$3:$F$74,3,0), 'Grilles et calculs individuels'!G29*VLOOKUP($G28,'données complémentaires'!$A$3:$D$73,4,0))*VLOOKUP($G28,$A$3:$E$73,4,0)/VLOOKUP($G28,$A$3:$E$73,2,0)</f>
        <v>9.1808934017563</v>
      </c>
      <c r="M28" s="76" t="n">
        <f aca="false">MIN(VLOOKUP($G28,'plafond sécu et CNAV'!$D$3:$F$74,3,0), 'Grilles et calculs individuels'!H29*VLOOKUP($G28,'données complémentaires'!$A$3:$D$73,4,0))*VLOOKUP($G28,$A$3:$E$73,4,0)/VLOOKUP($G28,$A$3:$E$73,2,0)</f>
        <v>9.1808934017563</v>
      </c>
      <c r="N28" s="76" t="n">
        <f aca="false">MIN(VLOOKUP($G28,'plafond sécu et CNAV'!$D$3:$F$74,3,0), 'Grilles et calculs individuels'!I29*VLOOKUP($G28,'données complémentaires'!$A$3:$D$73,4,0))*VLOOKUP($G28,$A$3:$E$73,4,0)/VLOOKUP($G28,$A$3:$E$73,2,0)</f>
        <v>8.43849719347266</v>
      </c>
      <c r="O28" s="76" t="n">
        <f aca="false">MIN(VLOOKUP($G28,'plafond sécu et CNAV'!$D$3:$F$74,3,0), 'Grilles et calculs individuels'!J29*VLOOKUP($G28,'données complémentaires'!$A$3:$D$73,4,0))*VLOOKUP($G28,$A$3:$E$73,4,0)/VLOOKUP($G28,$A$3:$E$73,2,0)</f>
        <v>11.1297956338227</v>
      </c>
    </row>
    <row r="29" customFormat="false" ht="12.8" hidden="false" customHeight="false" outlineLevel="0" collapsed="false">
      <c r="A29" s="0" t="n">
        <v>2014</v>
      </c>
      <c r="B29" s="56" t="n">
        <v>15.2589</v>
      </c>
      <c r="C29" s="4" t="n">
        <v>0.002</v>
      </c>
      <c r="D29" s="4" t="n">
        <f aca="false">0.061-'données complémentaires'!L29</f>
        <v>0.0434</v>
      </c>
      <c r="E29" s="86" t="n">
        <f aca="false">0.16344-'données complémentaires'!L29</f>
        <v>0.14584</v>
      </c>
      <c r="G29" s="54" t="n">
        <f aca="false">'calculs agirc'!H29</f>
        <v>1988</v>
      </c>
      <c r="H29" s="76" t="n">
        <f aca="false">MIN(VLOOKUP($G29,'plafond sécu et CNAV'!$D$3:$F$74,3,0), 'Grilles et calculs individuels'!C30*VLOOKUP($G29,'données complémentaires'!$A$3:$D$73,4,0))*VLOOKUP($G29,$A$3:$E$73,4,0)/VLOOKUP($G29,$A$3:$E$73,2,0)</f>
        <v>8.50262702134949</v>
      </c>
      <c r="I29" s="76" t="n">
        <f aca="false">MIN(VLOOKUP($G29,'plafond sécu et CNAV'!$D$3:$F$74,3,0), 'Grilles et calculs individuels'!D30*VLOOKUP($G29,'données complémentaires'!$A$3:$D$73,4,0))*VLOOKUP($G29,$A$3:$E$73,4,0)/VLOOKUP($G29,$A$3:$E$73,2,0)</f>
        <v>9.25632491645491</v>
      </c>
      <c r="J29" s="76" t="n">
        <f aca="false">MIN(VLOOKUP($G29,'plafond sécu et CNAV'!$D$3:$F$74,3,0), 'Grilles et calculs individuels'!E30*VLOOKUP($G29,'données complémentaires'!$A$3:$D$73,4,0))*VLOOKUP($G29,$A$3:$E$73,4,0)/VLOOKUP($G29,$A$3:$E$73,2,0)</f>
        <v>9.25632491645491</v>
      </c>
      <c r="K29" s="76" t="n">
        <f aca="false">MIN(VLOOKUP($G29,'plafond sécu et CNAV'!$D$3:$F$74,3,0), 'Grilles et calculs individuels'!F30*VLOOKUP($G29,'données complémentaires'!$A$3:$D$73,4,0))*VLOOKUP($G29,$A$3:$E$73,4,0)/VLOOKUP($G29,$A$3:$E$73,2,0)</f>
        <v>9.25632491645491</v>
      </c>
      <c r="L29" s="76" t="n">
        <f aca="false">MIN(VLOOKUP($G29,'plafond sécu et CNAV'!$D$3:$F$74,3,0), 'Grilles et calculs individuels'!G30*VLOOKUP($G29,'données complémentaires'!$A$3:$D$73,4,0))*VLOOKUP($G29,$A$3:$E$73,4,0)/VLOOKUP($G29,$A$3:$E$73,2,0)</f>
        <v>7.78882657022989</v>
      </c>
      <c r="M29" s="76" t="n">
        <f aca="false">MIN(VLOOKUP($G29,'plafond sécu et CNAV'!$D$3:$F$74,3,0), 'Grilles et calculs individuels'!H30*VLOOKUP($G29,'données complémentaires'!$A$3:$D$73,4,0))*VLOOKUP($G29,$A$3:$E$73,4,0)/VLOOKUP($G29,$A$3:$E$73,2,0)</f>
        <v>7.78882657022989</v>
      </c>
      <c r="N29" s="76" t="n">
        <f aca="false">MIN(VLOOKUP($G29,'plafond sécu et CNAV'!$D$3:$F$74,3,0), 'Grilles et calculs individuels'!I30*VLOOKUP($G29,'données complémentaires'!$A$3:$D$73,4,0))*VLOOKUP($G29,$A$3:$E$73,4,0)/VLOOKUP($G29,$A$3:$E$73,2,0)</f>
        <v>7.0120477270246</v>
      </c>
      <c r="O29" s="76" t="n">
        <f aca="false">MIN(VLOOKUP($G29,'plafond sécu et CNAV'!$D$3:$F$74,3,0), 'Grilles et calculs individuels'!J30*VLOOKUP($G29,'données complémentaires'!$A$3:$D$73,4,0))*VLOOKUP($G29,$A$3:$E$73,4,0)/VLOOKUP($G29,$A$3:$E$73,2,0)</f>
        <v>9.25632491645491</v>
      </c>
    </row>
    <row r="30" customFormat="false" ht="12.8" hidden="false" customHeight="false" outlineLevel="0" collapsed="false">
      <c r="A30" s="0" t="n">
        <v>2013</v>
      </c>
      <c r="B30" s="56" t="n">
        <v>15.2284</v>
      </c>
      <c r="C30" s="4" t="n">
        <v>0.0117</v>
      </c>
      <c r="D30" s="4" t="n">
        <f aca="false">0.061-'données complémentaires'!L30</f>
        <v>0.0421</v>
      </c>
      <c r="E30" s="86" t="n">
        <f aca="false">0.16344-'données complémentaires'!L30</f>
        <v>0.14454</v>
      </c>
      <c r="G30" s="54" t="n">
        <f aca="false">'calculs agirc'!H30</f>
        <v>1987</v>
      </c>
      <c r="H30" s="76" t="n">
        <f aca="false">MIN(VLOOKUP($G30,'plafond sécu et CNAV'!$D$3:$F$74,3,0), 'Grilles et calculs individuels'!C31*VLOOKUP($G30,'données complémentaires'!$A$3:$D$73,4,0))*VLOOKUP($G30,$A$3:$E$73,4,0)/VLOOKUP($G30,$A$3:$E$73,2,0)</f>
        <v>10.6926027248107</v>
      </c>
      <c r="I30" s="76" t="n">
        <f aca="false">MIN(VLOOKUP($G30,'plafond sécu et CNAV'!$D$3:$F$74,3,0), 'Grilles et calculs individuels'!D31*VLOOKUP($G30,'données complémentaires'!$A$3:$D$73,4,0))*VLOOKUP($G30,$A$3:$E$73,4,0)/VLOOKUP($G30,$A$3:$E$73,2,0)</f>
        <v>11.5254954782008</v>
      </c>
      <c r="J30" s="76" t="n">
        <f aca="false">MIN(VLOOKUP($G30,'plafond sécu et CNAV'!$D$3:$F$74,3,0), 'Grilles et calculs individuels'!E31*VLOOKUP($G30,'données complémentaires'!$A$3:$D$73,4,0))*VLOOKUP($G30,$A$3:$E$73,4,0)/VLOOKUP($G30,$A$3:$E$73,2,0)</f>
        <v>11.5254954782008</v>
      </c>
      <c r="K30" s="76" t="n">
        <f aca="false">MIN(VLOOKUP($G30,'plafond sécu et CNAV'!$D$3:$F$74,3,0), 'Grilles et calculs individuels'!F31*VLOOKUP($G30,'données complémentaires'!$A$3:$D$73,4,0))*VLOOKUP($G30,$A$3:$E$73,4,0)/VLOOKUP($G30,$A$3:$E$73,2,0)</f>
        <v>11.5254954782008</v>
      </c>
      <c r="L30" s="76" t="n">
        <f aca="false">MIN(VLOOKUP($G30,'plafond sécu et CNAV'!$D$3:$F$74,3,0), 'Grilles et calculs individuels'!G31*VLOOKUP($G30,'données complémentaires'!$A$3:$D$73,4,0))*VLOOKUP($G30,$A$3:$E$73,4,0)/VLOOKUP($G30,$A$3:$E$73,2,0)</f>
        <v>9.37249874893088</v>
      </c>
      <c r="M30" s="76" t="n">
        <f aca="false">MIN(VLOOKUP($G30,'plafond sécu et CNAV'!$D$3:$F$74,3,0), 'Grilles et calculs individuels'!H31*VLOOKUP($G30,'données complémentaires'!$A$3:$D$73,4,0))*VLOOKUP($G30,$A$3:$E$73,4,0)/VLOOKUP($G30,$A$3:$E$73,2,0)</f>
        <v>9.37249874893088</v>
      </c>
      <c r="N30" s="76" t="n">
        <f aca="false">MIN(VLOOKUP($G30,'plafond sécu et CNAV'!$D$3:$F$74,3,0), 'Grilles et calculs individuels'!I31*VLOOKUP($G30,'données complémentaires'!$A$3:$D$73,4,0))*VLOOKUP($G30,$A$3:$E$73,4,0)/VLOOKUP($G30,$A$3:$E$73,2,0)</f>
        <v>8.81810297502454</v>
      </c>
      <c r="O30" s="76" t="n">
        <f aca="false">MIN(VLOOKUP($G30,'plafond sécu et CNAV'!$D$3:$F$74,3,0), 'Grilles et calculs individuels'!J31*VLOOKUP($G30,'données complémentaires'!$A$3:$D$73,4,0))*VLOOKUP($G30,$A$3:$E$73,4,0)/VLOOKUP($G30,$A$3:$E$73,2,0)</f>
        <v>11.5254954782008</v>
      </c>
    </row>
    <row r="31" customFormat="false" ht="12.8" hidden="false" customHeight="false" outlineLevel="0" collapsed="false">
      <c r="A31" s="0" t="n">
        <v>2012</v>
      </c>
      <c r="B31" s="56" t="n">
        <v>15.0528</v>
      </c>
      <c r="C31" s="4" t="n">
        <v>0.0225</v>
      </c>
      <c r="D31" s="4" t="n">
        <f aca="false">0.061-'données complémentaires'!L31</f>
        <v>0.0394</v>
      </c>
      <c r="E31" s="86" t="n">
        <f aca="false">0.16344-'données complémentaires'!L31</f>
        <v>0.14184</v>
      </c>
      <c r="G31" s="54" t="n">
        <f aca="false">'calculs agirc'!H31</f>
        <v>1986</v>
      </c>
      <c r="H31" s="76" t="n">
        <f aca="false">MIN(VLOOKUP($G31,'plafond sécu et CNAV'!$D$3:$F$74,3,0), 'Grilles et calculs individuels'!C32*VLOOKUP($G31,'données complémentaires'!$A$3:$D$73,4,0))*VLOOKUP($G31,$A$3:$E$73,4,0)/VLOOKUP($G31,$A$3:$E$73,2,0)</f>
        <v>10.844815319978</v>
      </c>
      <c r="I31" s="76" t="n">
        <f aca="false">MIN(VLOOKUP($G31,'plafond sécu et CNAV'!$D$3:$F$74,3,0), 'Grilles et calculs individuels'!D32*VLOOKUP($G31,'données complémentaires'!$A$3:$D$73,4,0))*VLOOKUP($G31,$A$3:$E$73,4,0)/VLOOKUP($G31,$A$3:$E$73,2,0)</f>
        <v>11.3652366060244</v>
      </c>
      <c r="J31" s="76" t="n">
        <f aca="false">MIN(VLOOKUP($G31,'plafond sécu et CNAV'!$D$3:$F$74,3,0), 'Grilles et calculs individuels'!E32*VLOOKUP($G31,'données complémentaires'!$A$3:$D$73,4,0))*VLOOKUP($G31,$A$3:$E$73,4,0)/VLOOKUP($G31,$A$3:$E$73,2,0)</f>
        <v>11.3652366060244</v>
      </c>
      <c r="K31" s="76" t="n">
        <f aca="false">MIN(VLOOKUP($G31,'plafond sécu et CNAV'!$D$3:$F$74,3,0), 'Grilles et calculs individuels'!F32*VLOOKUP($G31,'données complémentaires'!$A$3:$D$73,4,0))*VLOOKUP($G31,$A$3:$E$73,4,0)/VLOOKUP($G31,$A$3:$E$73,2,0)</f>
        <v>11.3652366060244</v>
      </c>
      <c r="L31" s="76" t="n">
        <f aca="false">MIN(VLOOKUP($G31,'plafond sécu et CNAV'!$D$3:$F$74,3,0), 'Grilles et calculs individuels'!G32*VLOOKUP($G31,'données complémentaires'!$A$3:$D$73,4,0))*VLOOKUP($G31,$A$3:$E$73,4,0)/VLOOKUP($G31,$A$3:$E$73,2,0)</f>
        <v>9.50591924480944</v>
      </c>
      <c r="M31" s="76" t="n">
        <f aca="false">MIN(VLOOKUP($G31,'plafond sécu et CNAV'!$D$3:$F$74,3,0), 'Grilles et calculs individuels'!H32*VLOOKUP($G31,'données complémentaires'!$A$3:$D$73,4,0))*VLOOKUP($G31,$A$3:$E$73,4,0)/VLOOKUP($G31,$A$3:$E$73,2,0)</f>
        <v>9.50591924480944</v>
      </c>
      <c r="N31" s="76" t="n">
        <f aca="false">MIN(VLOOKUP($G31,'plafond sécu et CNAV'!$D$3:$F$74,3,0), 'Grilles et calculs individuels'!I32*VLOOKUP($G31,'données complémentaires'!$A$3:$D$73,4,0))*VLOOKUP($G31,$A$3:$E$73,4,0)/VLOOKUP($G31,$A$3:$E$73,2,0)</f>
        <v>8.75620221308497</v>
      </c>
      <c r="O31" s="76" t="n">
        <f aca="false">MIN(VLOOKUP($G31,'plafond sécu et CNAV'!$D$3:$F$74,3,0), 'Grilles et calculs individuels'!J32*VLOOKUP($G31,'données complémentaires'!$A$3:$D$73,4,0))*VLOOKUP($G31,$A$3:$E$73,4,0)/VLOOKUP($G31,$A$3:$E$73,2,0)</f>
        <v>11.3652366060244</v>
      </c>
    </row>
    <row r="32" customFormat="false" ht="12.8" hidden="false" customHeight="false" outlineLevel="0" collapsed="false">
      <c r="A32" s="0" t="n">
        <v>2011</v>
      </c>
      <c r="B32" s="56" t="n">
        <v>14.7216</v>
      </c>
      <c r="C32" s="4" t="n">
        <v>0.022</v>
      </c>
      <c r="D32" s="4" t="n">
        <f aca="false">0.061-'données complémentaires'!L32</f>
        <v>0.0355</v>
      </c>
      <c r="E32" s="86" t="n">
        <f aca="false">0.16344-'données complémentaires'!L32</f>
        <v>0.13794</v>
      </c>
      <c r="G32" s="54" t="n">
        <f aca="false">'calculs agirc'!H32</f>
        <v>1985</v>
      </c>
      <c r="H32" s="76" t="n">
        <f aca="false">MIN(VLOOKUP($G32,'plafond sécu et CNAV'!$D$3:$F$74,3,0), 'Grilles et calculs individuels'!C33*VLOOKUP($G32,'données complémentaires'!$A$3:$D$73,4,0))*VLOOKUP($G32,$A$3:$E$73,4,0)/VLOOKUP($G32,$A$3:$E$73,2,0)</f>
        <v>9.40376914695456</v>
      </c>
      <c r="I32" s="76" t="n">
        <f aca="false">MIN(VLOOKUP($G32,'plafond sécu et CNAV'!$D$3:$F$74,3,0), 'Grilles et calculs individuels'!D33*VLOOKUP($G32,'données complémentaires'!$A$3:$D$73,4,0))*VLOOKUP($G32,$A$3:$E$73,4,0)/VLOOKUP($G32,$A$3:$E$73,2,0)</f>
        <v>9.9184947765498</v>
      </c>
      <c r="J32" s="76" t="n">
        <f aca="false">MIN(VLOOKUP($G32,'plafond sécu et CNAV'!$D$3:$F$74,3,0), 'Grilles et calculs individuels'!E33*VLOOKUP($G32,'données complémentaires'!$A$3:$D$73,4,0))*VLOOKUP($G32,$A$3:$E$73,4,0)/VLOOKUP($G32,$A$3:$E$73,2,0)</f>
        <v>9.9184947765498</v>
      </c>
      <c r="K32" s="76" t="n">
        <f aca="false">MIN(VLOOKUP($G32,'plafond sécu et CNAV'!$D$3:$F$74,3,0), 'Grilles et calculs individuels'!F33*VLOOKUP($G32,'données complémentaires'!$A$3:$D$73,4,0))*VLOOKUP($G32,$A$3:$E$73,4,0)/VLOOKUP($G32,$A$3:$E$73,2,0)</f>
        <v>9.9184947765498</v>
      </c>
      <c r="L32" s="76" t="n">
        <f aca="false">MIN(VLOOKUP($G32,'plafond sécu et CNAV'!$D$3:$F$74,3,0), 'Grilles et calculs individuels'!G33*VLOOKUP($G32,'données complémentaires'!$A$3:$D$73,4,0))*VLOOKUP($G32,$A$3:$E$73,4,0)/VLOOKUP($G32,$A$3:$E$73,2,0)</f>
        <v>8.55984047895767</v>
      </c>
      <c r="M32" s="76" t="n">
        <f aca="false">MIN(VLOOKUP($G32,'plafond sécu et CNAV'!$D$3:$F$74,3,0), 'Grilles et calculs individuels'!H33*VLOOKUP($G32,'données complémentaires'!$A$3:$D$73,4,0))*VLOOKUP($G32,$A$3:$E$73,4,0)/VLOOKUP($G32,$A$3:$E$73,2,0)</f>
        <v>8.55984047895767</v>
      </c>
      <c r="N32" s="76" t="n">
        <f aca="false">MIN(VLOOKUP($G32,'plafond sécu et CNAV'!$D$3:$F$74,3,0), 'Grilles et calculs individuels'!I33*VLOOKUP($G32,'données complémentaires'!$A$3:$D$73,4,0))*VLOOKUP($G32,$A$3:$E$73,4,0)/VLOOKUP($G32,$A$3:$E$73,2,0)</f>
        <v>7.88473920462029</v>
      </c>
      <c r="O32" s="76" t="n">
        <f aca="false">MIN(VLOOKUP($G32,'plafond sécu et CNAV'!$D$3:$F$74,3,0), 'Grilles et calculs individuels'!J33*VLOOKUP($G32,'données complémentaires'!$A$3:$D$73,4,0))*VLOOKUP($G32,$A$3:$E$73,4,0)/VLOOKUP($G32,$A$3:$E$73,2,0)</f>
        <v>9.9184947765498</v>
      </c>
    </row>
    <row r="33" customFormat="false" ht="12.8" hidden="false" customHeight="false" outlineLevel="0" collapsed="false">
      <c r="A33" s="0" t="n">
        <v>2010</v>
      </c>
      <c r="B33" s="56" t="n">
        <v>14.4047</v>
      </c>
      <c r="C33" s="4" t="n">
        <v>0.013</v>
      </c>
      <c r="D33" s="4" t="n">
        <f aca="false">0.061-'données complémentaires'!L33</f>
        <v>0.034</v>
      </c>
      <c r="E33" s="86" t="n">
        <f aca="false">0.16344-'données complémentaires'!L33</f>
        <v>0.13644</v>
      </c>
      <c r="G33" s="54" t="n">
        <f aca="false">'calculs agirc'!H33</f>
        <v>1984</v>
      </c>
      <c r="H33" s="76" t="n">
        <f aca="false">MIN(VLOOKUP($G33,'plafond sécu et CNAV'!$D$3:$F$74,3,0), 'Grilles et calculs individuels'!C34*VLOOKUP($G33,'données complémentaires'!$A$3:$D$73,4,0))*VLOOKUP($G33,$A$3:$E$73,4,0)/VLOOKUP($G33,$A$3:$E$73,2,0)</f>
        <v>11.0230099404818</v>
      </c>
      <c r="I33" s="76" t="n">
        <f aca="false">MIN(VLOOKUP($G33,'plafond sécu et CNAV'!$D$3:$F$74,3,0), 'Grilles et calculs individuels'!D34*VLOOKUP($G33,'données complémentaires'!$A$3:$D$73,4,0))*VLOOKUP($G33,$A$3:$E$73,4,0)/VLOOKUP($G33,$A$3:$E$73,2,0)</f>
        <v>11.3393790981993</v>
      </c>
      <c r="J33" s="76" t="n">
        <f aca="false">MIN(VLOOKUP($G33,'plafond sécu et CNAV'!$D$3:$F$74,3,0), 'Grilles et calculs individuels'!E34*VLOOKUP($G33,'données complémentaires'!$A$3:$D$73,4,0))*VLOOKUP($G33,$A$3:$E$73,4,0)/VLOOKUP($G33,$A$3:$E$73,2,0)</f>
        <v>11.3393790981993</v>
      </c>
      <c r="K33" s="76" t="n">
        <f aca="false">MIN(VLOOKUP($G33,'plafond sécu et CNAV'!$D$3:$F$74,3,0), 'Grilles et calculs individuels'!F34*VLOOKUP($G33,'données complémentaires'!$A$3:$D$73,4,0))*VLOOKUP($G33,$A$3:$E$73,4,0)/VLOOKUP($G33,$A$3:$E$73,2,0)</f>
        <v>11.3393790981993</v>
      </c>
      <c r="L33" s="76" t="n">
        <f aca="false">MIN(VLOOKUP($G33,'plafond sécu et CNAV'!$D$3:$F$74,3,0), 'Grilles et calculs individuels'!G34*VLOOKUP($G33,'données complémentaires'!$A$3:$D$73,4,0))*VLOOKUP($G33,$A$3:$E$73,4,0)/VLOOKUP($G33,$A$3:$E$73,2,0)</f>
        <v>9.63809098705007</v>
      </c>
      <c r="M33" s="76" t="n">
        <f aca="false">MIN(VLOOKUP($G33,'plafond sécu et CNAV'!$D$3:$F$74,3,0), 'Grilles et calculs individuels'!H34*VLOOKUP($G33,'données complémentaires'!$A$3:$D$73,4,0))*VLOOKUP($G33,$A$3:$E$73,4,0)/VLOOKUP($G33,$A$3:$E$73,2,0)</f>
        <v>9.63809098705007</v>
      </c>
      <c r="N33" s="76" t="n">
        <f aca="false">MIN(VLOOKUP($G33,'plafond sécu et CNAV'!$D$3:$F$74,3,0), 'Grilles et calculs individuels'!I34*VLOOKUP($G33,'données complémentaires'!$A$3:$D$73,4,0))*VLOOKUP($G33,$A$3:$E$73,4,0)/VLOOKUP($G33,$A$3:$E$73,2,0)</f>
        <v>9.18583144341575</v>
      </c>
      <c r="O33" s="76" t="n">
        <f aca="false">MIN(VLOOKUP($G33,'plafond sécu et CNAV'!$D$3:$F$74,3,0), 'Grilles et calculs individuels'!J34*VLOOKUP($G33,'données complémentaires'!$A$3:$D$73,4,0))*VLOOKUP($G33,$A$3:$E$73,4,0)/VLOOKUP($G33,$A$3:$E$73,2,0)</f>
        <v>11.3393790981993</v>
      </c>
    </row>
    <row r="34" customFormat="false" ht="12.8" hidden="false" customHeight="false" outlineLevel="0" collapsed="false">
      <c r="A34" s="0" t="n">
        <v>2009</v>
      </c>
      <c r="B34" s="56" t="n">
        <v>14.2198</v>
      </c>
      <c r="C34" s="4" t="n">
        <v>0.018</v>
      </c>
      <c r="D34" s="4" t="n">
        <f aca="false">0.061-'données complémentaires'!L34</f>
        <v>0.034</v>
      </c>
      <c r="E34" s="86" t="n">
        <f aca="false">0.16344-'données complémentaires'!L34</f>
        <v>0.13644</v>
      </c>
      <c r="G34" s="54" t="n">
        <f aca="false">'calculs agirc'!H34</f>
        <v>1983</v>
      </c>
      <c r="H34" s="76" t="n">
        <f aca="false">MIN(VLOOKUP($G34,'plafond sécu et CNAV'!$D$3:$F$74,3,0), 'Grilles et calculs individuels'!C35*VLOOKUP($G34,'données complémentaires'!$A$3:$D$73,4,0))*VLOOKUP($G34,$A$3:$E$73,4,0)/VLOOKUP($G34,$A$3:$E$73,2,0)</f>
        <v>8.53165454609376</v>
      </c>
      <c r="I34" s="76" t="n">
        <f aca="false">MIN(VLOOKUP($G34,'plafond sécu et CNAV'!$D$3:$F$74,3,0), 'Grilles et calculs individuels'!D35*VLOOKUP($G34,'données complémentaires'!$A$3:$D$73,4,0))*VLOOKUP($G34,$A$3:$E$73,4,0)/VLOOKUP($G34,$A$3:$E$73,2,0)</f>
        <v>9.16145216184367</v>
      </c>
      <c r="J34" s="76" t="n">
        <f aca="false">MIN(VLOOKUP($G34,'plafond sécu et CNAV'!$D$3:$F$74,3,0), 'Grilles et calculs individuels'!E35*VLOOKUP($G34,'données complémentaires'!$A$3:$D$73,4,0))*VLOOKUP($G34,$A$3:$E$73,4,0)/VLOOKUP($G34,$A$3:$E$73,2,0)</f>
        <v>9.16145216184367</v>
      </c>
      <c r="K34" s="76" t="n">
        <f aca="false">MIN(VLOOKUP($G34,'plafond sécu et CNAV'!$D$3:$F$74,3,0), 'Grilles et calculs individuels'!F35*VLOOKUP($G34,'données complémentaires'!$A$3:$D$73,4,0))*VLOOKUP($G34,$A$3:$E$73,4,0)/VLOOKUP($G34,$A$3:$E$73,2,0)</f>
        <v>9.16145216184367</v>
      </c>
      <c r="L34" s="76" t="n">
        <f aca="false">MIN(VLOOKUP($G34,'plafond sécu et CNAV'!$D$3:$F$74,3,0), 'Grilles et calculs individuels'!G35*VLOOKUP($G34,'données complémentaires'!$A$3:$D$73,4,0))*VLOOKUP($G34,$A$3:$E$73,4,0)/VLOOKUP($G34,$A$3:$E$73,2,0)</f>
        <v>7.7581177362205</v>
      </c>
      <c r="M34" s="76" t="n">
        <f aca="false">MIN(VLOOKUP($G34,'plafond sécu et CNAV'!$D$3:$F$74,3,0), 'Grilles et calculs individuels'!H35*VLOOKUP($G34,'données complémentaires'!$A$3:$D$73,4,0))*VLOOKUP($G34,$A$3:$E$73,4,0)/VLOOKUP($G34,$A$3:$E$73,2,0)</f>
        <v>7.7581177362205</v>
      </c>
      <c r="N34" s="76" t="n">
        <f aca="false">MIN(VLOOKUP($G34,'plafond sécu et CNAV'!$D$3:$F$74,3,0), 'Grilles et calculs individuels'!I35*VLOOKUP($G34,'données complémentaires'!$A$3:$D$73,4,0))*VLOOKUP($G34,$A$3:$E$73,4,0)/VLOOKUP($G34,$A$3:$E$73,2,0)</f>
        <v>7.39407440112865</v>
      </c>
      <c r="O34" s="76" t="n">
        <f aca="false">MIN(VLOOKUP($G34,'plafond sécu et CNAV'!$D$3:$F$74,3,0), 'Grilles et calculs individuels'!J35*VLOOKUP($G34,'données complémentaires'!$A$3:$D$73,4,0))*VLOOKUP($G34,$A$3:$E$73,4,0)/VLOOKUP($G34,$A$3:$E$73,2,0)</f>
        <v>9.16145216184367</v>
      </c>
    </row>
    <row r="35" customFormat="false" ht="12.8" hidden="false" customHeight="false" outlineLevel="0" collapsed="false">
      <c r="A35" s="0" t="n">
        <v>2008</v>
      </c>
      <c r="B35" s="56" t="n">
        <v>13.9684</v>
      </c>
      <c r="C35" s="4" t="n">
        <v>0.034</v>
      </c>
      <c r="D35" s="4" t="n">
        <f aca="false">0.061-'données complémentaires'!L35</f>
        <v>0.034</v>
      </c>
      <c r="E35" s="86" t="n">
        <f aca="false">0.16344-'données complémentaires'!L35</f>
        <v>0.13644</v>
      </c>
      <c r="G35" s="54" t="n">
        <f aca="false">'calculs agirc'!H35</f>
        <v>1982</v>
      </c>
      <c r="H35" s="76" t="n">
        <f aca="false">MIN(VLOOKUP($G35,'plafond sécu et CNAV'!$D$3:$F$74,3,0), 'Grilles et calculs individuels'!C36*VLOOKUP($G35,'données complémentaires'!$A$3:$D$73,4,0))*VLOOKUP($G35,$A$3:$E$73,4,0)/VLOOKUP($G35,$A$3:$E$73,2,0)</f>
        <v>8.82931012867324</v>
      </c>
      <c r="I35" s="76" t="n">
        <f aca="false">MIN(VLOOKUP($G35,'plafond sécu et CNAV'!$D$3:$F$74,3,0), 'Grilles et calculs individuels'!D36*VLOOKUP($G35,'données complémentaires'!$A$3:$D$73,4,0))*VLOOKUP($G35,$A$3:$E$73,4,0)/VLOOKUP($G35,$A$3:$E$73,2,0)</f>
        <v>9.25101844394314</v>
      </c>
      <c r="J35" s="76" t="n">
        <f aca="false">MIN(VLOOKUP($G35,'plafond sécu et CNAV'!$D$3:$F$74,3,0), 'Grilles et calculs individuels'!E36*VLOOKUP($G35,'données complémentaires'!$A$3:$D$73,4,0))*VLOOKUP($G35,$A$3:$E$73,4,0)/VLOOKUP($G35,$A$3:$E$73,2,0)</f>
        <v>9.25101844394314</v>
      </c>
      <c r="K35" s="76" t="n">
        <f aca="false">MIN(VLOOKUP($G35,'plafond sécu et CNAV'!$D$3:$F$74,3,0), 'Grilles et calculs individuels'!F36*VLOOKUP($G35,'données complémentaires'!$A$3:$D$73,4,0))*VLOOKUP($G35,$A$3:$E$73,4,0)/VLOOKUP($G35,$A$3:$E$73,2,0)</f>
        <v>9.25101844394314</v>
      </c>
      <c r="L35" s="76" t="n">
        <f aca="false">MIN(VLOOKUP($G35,'plafond sécu et CNAV'!$D$3:$F$74,3,0), 'Grilles et calculs individuels'!G36*VLOOKUP($G35,'données complémentaires'!$A$3:$D$73,4,0))*VLOOKUP($G35,$A$3:$E$73,4,0)/VLOOKUP($G35,$A$3:$E$73,2,0)</f>
        <v>7.86398252677771</v>
      </c>
      <c r="M35" s="76" t="n">
        <f aca="false">MIN(VLOOKUP($G35,'plafond sécu et CNAV'!$D$3:$F$74,3,0), 'Grilles et calculs individuels'!H36*VLOOKUP($G35,'données complémentaires'!$A$3:$D$73,4,0))*VLOOKUP($G35,$A$3:$E$73,4,0)/VLOOKUP($G35,$A$3:$E$73,2,0)</f>
        <v>7.86398252677771</v>
      </c>
      <c r="N35" s="76" t="n">
        <f aca="false">MIN(VLOOKUP($G35,'plafond sécu et CNAV'!$D$3:$F$74,3,0), 'Grilles et calculs individuels'!I36*VLOOKUP($G35,'données complémentaires'!$A$3:$D$73,4,0))*VLOOKUP($G35,$A$3:$E$73,4,0)/VLOOKUP($G35,$A$3:$E$73,2,0)</f>
        <v>7.60495498758387</v>
      </c>
      <c r="O35" s="76" t="n">
        <f aca="false">MIN(VLOOKUP($G35,'plafond sécu et CNAV'!$D$3:$F$74,3,0), 'Grilles et calculs individuels'!J36*VLOOKUP($G35,'données complémentaires'!$A$3:$D$73,4,0))*VLOOKUP($G35,$A$3:$E$73,4,0)/VLOOKUP($G35,$A$3:$E$73,2,0)</f>
        <v>9.25101844394314</v>
      </c>
    </row>
    <row r="36" customFormat="false" ht="12.8" hidden="false" customHeight="false" outlineLevel="0" collapsed="false">
      <c r="A36" s="0" t="n">
        <v>2007</v>
      </c>
      <c r="B36" s="56" t="n">
        <v>13.5091</v>
      </c>
      <c r="C36" s="4" t="n">
        <v>0.037</v>
      </c>
      <c r="D36" s="4" t="n">
        <f aca="false">0.061-'données complémentaires'!L36</f>
        <v>0.034</v>
      </c>
      <c r="E36" s="86" t="n">
        <f aca="false">0.16344-'données complémentaires'!L36</f>
        <v>0.13644</v>
      </c>
      <c r="G36" s="54" t="n">
        <f aca="false">'calculs agirc'!H36</f>
        <v>1981</v>
      </c>
      <c r="H36" s="76" t="n">
        <f aca="false">MIN(VLOOKUP($G36,'plafond sécu et CNAV'!$D$3:$F$74,3,0), 'Grilles et calculs individuels'!C37*VLOOKUP($G36,'données complémentaires'!$A$3:$D$73,4,0))*VLOOKUP($G36,$A$3:$E$73,4,0)/VLOOKUP($G36,$A$3:$E$73,2,0)</f>
        <v>8.39267221318402</v>
      </c>
      <c r="I36" s="76" t="n">
        <f aca="false">MIN(VLOOKUP($G36,'plafond sécu et CNAV'!$D$3:$F$74,3,0), 'Grilles et calculs individuels'!D37*VLOOKUP($G36,'données complémentaires'!$A$3:$D$73,4,0))*VLOOKUP($G36,$A$3:$E$73,4,0)/VLOOKUP($G36,$A$3:$E$73,2,0)</f>
        <v>8.61867499501478</v>
      </c>
      <c r="J36" s="76" t="n">
        <f aca="false">MIN(VLOOKUP($G36,'plafond sécu et CNAV'!$D$3:$F$74,3,0), 'Grilles et calculs individuels'!E37*VLOOKUP($G36,'données complémentaires'!$A$3:$D$73,4,0))*VLOOKUP($G36,$A$3:$E$73,4,0)/VLOOKUP($G36,$A$3:$E$73,2,0)</f>
        <v>8.61867499501478</v>
      </c>
      <c r="K36" s="76" t="n">
        <f aca="false">MIN(VLOOKUP($G36,'plafond sécu et CNAV'!$D$3:$F$74,3,0), 'Grilles et calculs individuels'!F37*VLOOKUP($G36,'données complémentaires'!$A$3:$D$73,4,0))*VLOOKUP($G36,$A$3:$E$73,4,0)/VLOOKUP($G36,$A$3:$E$73,2,0)</f>
        <v>8.61867499501478</v>
      </c>
      <c r="L36" s="76" t="n">
        <f aca="false">MIN(VLOOKUP($G36,'plafond sécu et CNAV'!$D$3:$F$74,3,0), 'Grilles et calculs individuels'!G37*VLOOKUP($G36,'données complémentaires'!$A$3:$D$73,4,0))*VLOOKUP($G36,$A$3:$E$73,4,0)/VLOOKUP($G36,$A$3:$E$73,2,0)</f>
        <v>7.76495652579858</v>
      </c>
      <c r="M36" s="76" t="n">
        <f aca="false">MIN(VLOOKUP($G36,'plafond sécu et CNAV'!$D$3:$F$74,3,0), 'Grilles et calculs individuels'!H37*VLOOKUP($G36,'données complémentaires'!$A$3:$D$73,4,0))*VLOOKUP($G36,$A$3:$E$73,4,0)/VLOOKUP($G36,$A$3:$E$73,2,0)</f>
        <v>7.76495652579858</v>
      </c>
      <c r="N36" s="76" t="n">
        <f aca="false">MIN(VLOOKUP($G36,'plafond sécu et CNAV'!$D$3:$F$74,3,0), 'Grilles et calculs individuels'!I37*VLOOKUP($G36,'données complémentaires'!$A$3:$D$73,4,0))*VLOOKUP($G36,$A$3:$E$73,4,0)/VLOOKUP($G36,$A$3:$E$73,2,0)</f>
        <v>7.50919075139917</v>
      </c>
      <c r="O36" s="76" t="n">
        <f aca="false">MIN(VLOOKUP($G36,'plafond sécu et CNAV'!$D$3:$F$74,3,0), 'Grilles et calculs individuels'!J37*VLOOKUP($G36,'données complémentaires'!$A$3:$D$73,4,0))*VLOOKUP($G36,$A$3:$E$73,4,0)/VLOOKUP($G36,$A$3:$E$73,2,0)</f>
        <v>8.61867499501478</v>
      </c>
    </row>
    <row r="37" customFormat="false" ht="12.8" hidden="false" customHeight="false" outlineLevel="0" collapsed="false">
      <c r="A37" s="0" t="n">
        <v>2006</v>
      </c>
      <c r="B37" s="56" t="n">
        <v>13.0271</v>
      </c>
      <c r="C37" s="4" t="n">
        <v>0.029</v>
      </c>
      <c r="D37" s="4" t="n">
        <f aca="false">0.061-'données complémentaires'!L37</f>
        <v>0.034</v>
      </c>
      <c r="E37" s="86" t="n">
        <f aca="false">0.16344-'données complémentaires'!L37</f>
        <v>0.13644</v>
      </c>
      <c r="G37" s="54" t="n">
        <f aca="false">'calculs agirc'!H37</f>
        <v>1980</v>
      </c>
      <c r="H37" s="76" t="n">
        <f aca="false">MIN(VLOOKUP($G37,'plafond sécu et CNAV'!$D$3:$F$74,3,0), 'Grilles et calculs individuels'!C38*VLOOKUP($G37,'données complémentaires'!$A$3:$D$73,4,0))*VLOOKUP($G37,$A$3:$E$73,4,0)/VLOOKUP($G37,$A$3:$E$73,2,0)</f>
        <v>8.28768377397218</v>
      </c>
      <c r="I37" s="76" t="n">
        <f aca="false">MIN(VLOOKUP($G37,'plafond sécu et CNAV'!$D$3:$F$74,3,0), 'Grilles et calculs individuels'!D38*VLOOKUP($G37,'données complémentaires'!$A$3:$D$73,4,0))*VLOOKUP($G37,$A$3:$E$73,4,0)/VLOOKUP($G37,$A$3:$E$73,2,0)</f>
        <v>8.47966256276337</v>
      </c>
      <c r="J37" s="76" t="n">
        <f aca="false">MIN(VLOOKUP($G37,'plafond sécu et CNAV'!$D$3:$F$74,3,0), 'Grilles et calculs individuels'!E38*VLOOKUP($G37,'données complémentaires'!$A$3:$D$73,4,0))*VLOOKUP($G37,$A$3:$E$73,4,0)/VLOOKUP($G37,$A$3:$E$73,2,0)</f>
        <v>8.47966256276337</v>
      </c>
      <c r="K37" s="76" t="n">
        <f aca="false">MIN(VLOOKUP($G37,'plafond sécu et CNAV'!$D$3:$F$74,3,0), 'Grilles et calculs individuels'!F38*VLOOKUP($G37,'données complémentaires'!$A$3:$D$73,4,0))*VLOOKUP($G37,$A$3:$E$73,4,0)/VLOOKUP($G37,$A$3:$E$73,2,0)</f>
        <v>8.47966256276337</v>
      </c>
      <c r="L37" s="76" t="n">
        <f aca="false">MIN(VLOOKUP($G37,'plafond sécu et CNAV'!$D$3:$F$74,3,0), 'Grilles et calculs individuels'!G38*VLOOKUP($G37,'données complémentaires'!$A$3:$D$73,4,0))*VLOOKUP($G37,$A$3:$E$73,4,0)/VLOOKUP($G37,$A$3:$E$73,2,0)</f>
        <v>7.5071280848852</v>
      </c>
      <c r="M37" s="76" t="n">
        <f aca="false">MIN(VLOOKUP($G37,'plafond sécu et CNAV'!$D$3:$F$74,3,0), 'Grilles et calculs individuels'!H38*VLOOKUP($G37,'données complémentaires'!$A$3:$D$73,4,0))*VLOOKUP($G37,$A$3:$E$73,4,0)/VLOOKUP($G37,$A$3:$E$73,2,0)</f>
        <v>7.5071280848852</v>
      </c>
      <c r="N37" s="76" t="n">
        <f aca="false">MIN(VLOOKUP($G37,'plafond sécu et CNAV'!$D$3:$F$74,3,0), 'Grilles et calculs individuels'!I38*VLOOKUP($G37,'données complémentaires'!$A$3:$D$73,4,0))*VLOOKUP($G37,$A$3:$E$73,4,0)/VLOOKUP($G37,$A$3:$E$73,2,0)</f>
        <v>7.39229819376372</v>
      </c>
      <c r="O37" s="76" t="n">
        <f aca="false">MIN(VLOOKUP($G37,'plafond sécu et CNAV'!$D$3:$F$74,3,0), 'Grilles et calculs individuels'!J38*VLOOKUP($G37,'données complémentaires'!$A$3:$D$73,4,0))*VLOOKUP($G37,$A$3:$E$73,4,0)/VLOOKUP($G37,$A$3:$E$73,2,0)</f>
        <v>8.47966256276337</v>
      </c>
    </row>
    <row r="38" customFormat="false" ht="12.8" hidden="false" customHeight="false" outlineLevel="0" collapsed="false">
      <c r="A38" s="0" t="n">
        <v>2005</v>
      </c>
      <c r="B38" s="56" t="n">
        <v>12.66</v>
      </c>
      <c r="C38" s="4" t="n">
        <v>0.024</v>
      </c>
      <c r="D38" s="4" t="n">
        <f aca="false">0.061-'données complémentaires'!L38</f>
        <v>0.035</v>
      </c>
      <c r="E38" s="86" t="n">
        <f aca="false">0.16344-'données complémentaires'!L38</f>
        <v>0.13744</v>
      </c>
      <c r="G38" s="54" t="n">
        <f aca="false">'calculs agirc'!H38</f>
        <v>1979</v>
      </c>
      <c r="H38" s="76" t="n">
        <f aca="false">MIN(VLOOKUP($G38,'plafond sécu et CNAV'!$D$3:$F$74,3,0), 'Grilles et calculs individuels'!C39*VLOOKUP($G38,'données complémentaires'!$A$3:$D$73,4,0))*VLOOKUP($G38,$A$3:$E$73,4,0)/VLOOKUP($G38,$A$3:$E$73,2,0)</f>
        <v>9.64670302388647</v>
      </c>
      <c r="I38" s="76" t="n">
        <f aca="false">MIN(VLOOKUP($G38,'plafond sécu et CNAV'!$D$3:$F$74,3,0), 'Grilles et calculs individuels'!D39*VLOOKUP($G38,'données complémentaires'!$A$3:$D$73,4,0))*VLOOKUP($G38,$A$3:$E$73,4,0)/VLOOKUP($G38,$A$3:$E$73,2,0)</f>
        <v>10.4497491059929</v>
      </c>
      <c r="J38" s="76" t="n">
        <f aca="false">MIN(VLOOKUP($G38,'plafond sécu et CNAV'!$D$3:$F$74,3,0), 'Grilles et calculs individuels'!E39*VLOOKUP($G38,'données complémentaires'!$A$3:$D$73,4,0))*VLOOKUP($G38,$A$3:$E$73,4,0)/VLOOKUP($G38,$A$3:$E$73,2,0)</f>
        <v>10.4497491059929</v>
      </c>
      <c r="K38" s="76" t="n">
        <f aca="false">MIN(VLOOKUP($G38,'plafond sécu et CNAV'!$D$3:$F$74,3,0), 'Grilles et calculs individuels'!F39*VLOOKUP($G38,'données complémentaires'!$A$3:$D$73,4,0))*VLOOKUP($G38,$A$3:$E$73,4,0)/VLOOKUP($G38,$A$3:$E$73,2,0)</f>
        <v>10.4497491059929</v>
      </c>
      <c r="L38" s="76" t="n">
        <f aca="false">MIN(VLOOKUP($G38,'plafond sécu et CNAV'!$D$3:$F$74,3,0), 'Grilles et calculs individuels'!G39*VLOOKUP($G38,'données complémentaires'!$A$3:$D$73,4,0))*VLOOKUP($G38,$A$3:$E$73,4,0)/VLOOKUP($G38,$A$3:$E$73,2,0)</f>
        <v>9.06461052012409</v>
      </c>
      <c r="M38" s="76" t="n">
        <f aca="false">MIN(VLOOKUP($G38,'plafond sécu et CNAV'!$D$3:$F$74,3,0), 'Grilles et calculs individuels'!H39*VLOOKUP($G38,'données complémentaires'!$A$3:$D$73,4,0))*VLOOKUP($G38,$A$3:$E$73,4,0)/VLOOKUP($G38,$A$3:$E$73,2,0)</f>
        <v>9.06461052012409</v>
      </c>
      <c r="N38" s="76" t="n">
        <f aca="false">MIN(VLOOKUP($G38,'plafond sécu et CNAV'!$D$3:$F$74,3,0), 'Grilles et calculs individuels'!I39*VLOOKUP($G38,'données complémentaires'!$A$3:$D$73,4,0))*VLOOKUP($G38,$A$3:$E$73,4,0)/VLOOKUP($G38,$A$3:$E$73,2,0)</f>
        <v>8.89823850860957</v>
      </c>
      <c r="O38" s="76" t="n">
        <f aca="false">MIN(VLOOKUP($G38,'plafond sécu et CNAV'!$D$3:$F$74,3,0), 'Grilles et calculs individuels'!J39*VLOOKUP($G38,'données complémentaires'!$A$3:$D$73,4,0))*VLOOKUP($G38,$A$3:$E$73,4,0)/VLOOKUP($G38,$A$3:$E$73,2,0)</f>
        <v>10.2357701009995</v>
      </c>
    </row>
    <row r="39" customFormat="false" ht="12.8" hidden="false" customHeight="false" outlineLevel="0" collapsed="false">
      <c r="A39" s="0" t="n">
        <v>2004</v>
      </c>
      <c r="B39" s="56" t="n">
        <v>12.3632</v>
      </c>
      <c r="C39" s="4" t="n">
        <v>0.023</v>
      </c>
      <c r="D39" s="4" t="n">
        <f aca="false">0.061-'données complémentaires'!L39</f>
        <v>0.036</v>
      </c>
      <c r="E39" s="86" t="n">
        <f aca="false">0.16344-'données complémentaires'!L39</f>
        <v>0.13844</v>
      </c>
      <c r="G39" s="54" t="n">
        <f aca="false">'calculs agirc'!H39</f>
        <v>1978</v>
      </c>
      <c r="H39" s="76" t="n">
        <f aca="false">MIN(VLOOKUP($G39,'plafond sécu et CNAV'!$D$3:$F$74,3,0), 'Grilles et calculs individuels'!C40*VLOOKUP($G39,'données complémentaires'!$A$3:$D$73,4,0))*VLOOKUP($G39,$A$3:$E$73,4,0)/VLOOKUP($G39,$A$3:$E$73,2,0)</f>
        <v>9.72665773607906</v>
      </c>
      <c r="I39" s="76" t="n">
        <f aca="false">MIN(VLOOKUP($G39,'plafond sécu et CNAV'!$D$3:$F$74,3,0), 'Grilles et calculs individuels'!D40*VLOOKUP($G39,'données complémentaires'!$A$3:$D$73,4,0))*VLOOKUP($G39,$A$3:$E$73,4,0)/VLOOKUP($G39,$A$3:$E$73,2,0)</f>
        <v>10.4474176557319</v>
      </c>
      <c r="J39" s="76" t="n">
        <f aca="false">MIN(VLOOKUP($G39,'plafond sécu et CNAV'!$D$3:$F$74,3,0), 'Grilles et calculs individuels'!E40*VLOOKUP($G39,'données complémentaires'!$A$3:$D$73,4,0))*VLOOKUP($G39,$A$3:$E$73,4,0)/VLOOKUP($G39,$A$3:$E$73,2,0)</f>
        <v>10.4474176557319</v>
      </c>
      <c r="K39" s="76" t="n">
        <f aca="false">MIN(VLOOKUP($G39,'plafond sécu et CNAV'!$D$3:$F$74,3,0), 'Grilles et calculs individuels'!F40*VLOOKUP($G39,'données complémentaires'!$A$3:$D$73,4,0))*VLOOKUP($G39,$A$3:$E$73,4,0)/VLOOKUP($G39,$A$3:$E$73,2,0)</f>
        <v>10.4474176557319</v>
      </c>
      <c r="L39" s="76" t="n">
        <f aca="false">MIN(VLOOKUP($G39,'plafond sécu et CNAV'!$D$3:$F$74,3,0), 'Grilles et calculs individuels'!G40*VLOOKUP($G39,'données complémentaires'!$A$3:$D$73,4,0))*VLOOKUP($G39,$A$3:$E$73,4,0)/VLOOKUP($G39,$A$3:$E$73,2,0)</f>
        <v>9.08378345200964</v>
      </c>
      <c r="M39" s="76" t="n">
        <f aca="false">MIN(VLOOKUP($G39,'plafond sécu et CNAV'!$D$3:$F$74,3,0), 'Grilles et calculs individuels'!H40*VLOOKUP($G39,'données complémentaires'!$A$3:$D$73,4,0))*VLOOKUP($G39,$A$3:$E$73,4,0)/VLOOKUP($G39,$A$3:$E$73,2,0)</f>
        <v>9.08378345200964</v>
      </c>
      <c r="N39" s="76" t="n">
        <f aca="false">MIN(VLOOKUP($G39,'plafond sécu et CNAV'!$D$3:$F$74,3,0), 'Grilles et calculs individuels'!I40*VLOOKUP($G39,'données complémentaires'!$A$3:$D$73,4,0))*VLOOKUP($G39,$A$3:$E$73,4,0)/VLOOKUP($G39,$A$3:$E$73,2,0)</f>
        <v>0</v>
      </c>
      <c r="O39" s="76" t="n">
        <f aca="false">MIN(VLOOKUP($G39,'plafond sécu et CNAV'!$D$3:$F$74,3,0), 'Grilles et calculs individuels'!J40*VLOOKUP($G39,'données complémentaires'!$A$3:$D$73,4,0))*VLOOKUP($G39,$A$3:$E$73,4,0)/VLOOKUP($G39,$A$3:$E$73,2,0)</f>
        <v>0</v>
      </c>
    </row>
    <row r="40" customFormat="false" ht="12.8" hidden="false" customHeight="false" outlineLevel="0" collapsed="false">
      <c r="A40" s="0" t="n">
        <v>2003</v>
      </c>
      <c r="B40" s="56" t="n">
        <v>12.0852</v>
      </c>
      <c r="C40" s="4" t="n">
        <v>0.016</v>
      </c>
      <c r="D40" s="4" t="n">
        <f aca="false">0.061-'données complémentaires'!L40</f>
        <v>0.036</v>
      </c>
      <c r="E40" s="86" t="n">
        <f aca="false">0.16344-'données complémentaires'!L40</f>
        <v>0.13844</v>
      </c>
      <c r="G40" s="54" t="n">
        <f aca="false">'calculs agirc'!H40</f>
        <v>1977</v>
      </c>
      <c r="H40" s="76" t="n">
        <f aca="false">MIN(VLOOKUP($G40,'plafond sécu et CNAV'!$D$3:$F$74,3,0), 'Grilles et calculs individuels'!C41*VLOOKUP($G40,'données complémentaires'!$A$3:$D$73,4,0))*VLOOKUP($G40,$A$3:$E$73,4,0)/VLOOKUP($G40,$A$3:$E$73,2,0)</f>
        <v>9.47298372367757</v>
      </c>
      <c r="I40" s="76" t="n">
        <f aca="false">MIN(VLOOKUP($G40,'plafond sécu et CNAV'!$D$3:$F$74,3,0), 'Grilles et calculs individuels'!D41*VLOOKUP($G40,'données complémentaires'!$A$3:$D$73,4,0))*VLOOKUP($G40,$A$3:$E$73,4,0)/VLOOKUP($G40,$A$3:$E$73,2,0)</f>
        <v>10.3800674632777</v>
      </c>
      <c r="J40" s="76" t="n">
        <f aca="false">MIN(VLOOKUP($G40,'plafond sécu et CNAV'!$D$3:$F$74,3,0), 'Grilles et calculs individuels'!E41*VLOOKUP($G40,'données complémentaires'!$A$3:$D$73,4,0))*VLOOKUP($G40,$A$3:$E$73,4,0)/VLOOKUP($G40,$A$3:$E$73,2,0)</f>
        <v>10.3800674632777</v>
      </c>
      <c r="K40" s="76" t="n">
        <f aca="false">MIN(VLOOKUP($G40,'plafond sécu et CNAV'!$D$3:$F$74,3,0), 'Grilles et calculs individuels'!F41*VLOOKUP($G40,'données complémentaires'!$A$3:$D$73,4,0))*VLOOKUP($G40,$A$3:$E$73,4,0)/VLOOKUP($G40,$A$3:$E$73,2,0)</f>
        <v>10.3800674632777</v>
      </c>
      <c r="L40" s="76" t="n">
        <f aca="false">MIN(VLOOKUP($G40,'plafond sécu et CNAV'!$D$3:$F$74,3,0), 'Grilles et calculs individuels'!G41*VLOOKUP($G40,'données complémentaires'!$A$3:$D$73,4,0))*VLOOKUP($G40,$A$3:$E$73,4,0)/VLOOKUP($G40,$A$3:$E$73,2,0)</f>
        <v>9.05502434525754</v>
      </c>
      <c r="M40" s="76" t="n">
        <f aca="false">MIN(VLOOKUP($G40,'plafond sécu et CNAV'!$D$3:$F$74,3,0), 'Grilles et calculs individuels'!H41*VLOOKUP($G40,'données complémentaires'!$A$3:$D$73,4,0))*VLOOKUP($G40,$A$3:$E$73,4,0)/VLOOKUP($G40,$A$3:$E$73,2,0)</f>
        <v>9.05502434525754</v>
      </c>
      <c r="N40" s="76" t="n">
        <f aca="false">MIN(VLOOKUP($G40,'plafond sécu et CNAV'!$D$3:$F$74,3,0), 'Grilles et calculs individuels'!I41*VLOOKUP($G40,'données complémentaires'!$A$3:$D$73,4,0))*VLOOKUP($G40,$A$3:$E$73,4,0)/VLOOKUP($G40,$A$3:$E$73,2,0)</f>
        <v>0</v>
      </c>
      <c r="O40" s="76" t="n">
        <f aca="false">MIN(VLOOKUP($G40,'plafond sécu et CNAV'!$D$3:$F$74,3,0), 'Grilles et calculs individuels'!J41*VLOOKUP($G40,'données complémentaires'!$A$3:$D$73,4,0))*VLOOKUP($G40,$A$3:$E$73,4,0)/VLOOKUP($G40,$A$3:$E$73,2,0)</f>
        <v>0</v>
      </c>
    </row>
    <row r="41" customFormat="false" ht="12.8" hidden="false" customHeight="false" outlineLevel="0" collapsed="false">
      <c r="A41" s="0" t="n">
        <v>2002</v>
      </c>
      <c r="B41" s="56" t="n">
        <v>11.8949</v>
      </c>
      <c r="C41" s="4" t="n">
        <v>0.016</v>
      </c>
      <c r="D41" s="4" t="n">
        <f aca="false">0.061-'données complémentaires'!L41</f>
        <v>0.036</v>
      </c>
      <c r="E41" s="86" t="n">
        <f aca="false">0.16344-'données complémentaires'!L41</f>
        <v>0.13844</v>
      </c>
      <c r="G41" s="54" t="n">
        <f aca="false">'calculs agirc'!H41</f>
        <v>1976</v>
      </c>
      <c r="H41" s="76" t="n">
        <f aca="false">MIN(VLOOKUP($G41,'plafond sécu et CNAV'!$D$3:$F$74,3,0), 'Grilles et calculs individuels'!C42*VLOOKUP($G41,'données complémentaires'!$A$3:$D$73,4,0))*VLOOKUP($G41,$A$3:$E$73,4,0)/VLOOKUP($G41,$A$3:$E$73,2,0)</f>
        <v>11.9491191266186</v>
      </c>
      <c r="I41" s="76" t="n">
        <f aca="false">MIN(VLOOKUP($G41,'plafond sécu et CNAV'!$D$3:$F$74,3,0), 'Grilles et calculs individuels'!D42*VLOOKUP($G41,'données complémentaires'!$A$3:$D$73,4,0))*VLOOKUP($G41,$A$3:$E$73,4,0)/VLOOKUP($G41,$A$3:$E$73,2,0)</f>
        <v>12.5792764756258</v>
      </c>
      <c r="J41" s="76" t="n">
        <f aca="false">MIN(VLOOKUP($G41,'plafond sécu et CNAV'!$D$3:$F$74,3,0), 'Grilles et calculs individuels'!E42*VLOOKUP($G41,'données complémentaires'!$A$3:$D$73,4,0))*VLOOKUP($G41,$A$3:$E$73,4,0)/VLOOKUP($G41,$A$3:$E$73,2,0)</f>
        <v>12.5792764756258</v>
      </c>
      <c r="K41" s="76" t="n">
        <f aca="false">MIN(VLOOKUP($G41,'plafond sécu et CNAV'!$D$3:$F$74,3,0), 'Grilles et calculs individuels'!F42*VLOOKUP($G41,'données complémentaires'!$A$3:$D$73,4,0))*VLOOKUP($G41,$A$3:$E$73,4,0)/VLOOKUP($G41,$A$3:$E$73,2,0)</f>
        <v>12.5792764756258</v>
      </c>
      <c r="L41" s="76" t="n">
        <f aca="false">MIN(VLOOKUP($G41,'plafond sécu et CNAV'!$D$3:$F$74,3,0), 'Grilles et calculs individuels'!G42*VLOOKUP($G41,'données complémentaires'!$A$3:$D$73,4,0))*VLOOKUP($G41,$A$3:$E$73,4,0)/VLOOKUP($G41,$A$3:$E$73,2,0)</f>
        <v>11.3516252197092</v>
      </c>
      <c r="M41" s="76" t="n">
        <f aca="false">MIN(VLOOKUP($G41,'plafond sécu et CNAV'!$D$3:$F$74,3,0), 'Grilles et calculs individuels'!H42*VLOOKUP($G41,'données complémentaires'!$A$3:$D$73,4,0))*VLOOKUP($G41,$A$3:$E$73,4,0)/VLOOKUP($G41,$A$3:$E$73,2,0)</f>
        <v>11.3516252197092</v>
      </c>
      <c r="N41" s="76" t="n">
        <f aca="false">MIN(VLOOKUP($G41,'plafond sécu et CNAV'!$D$3:$F$74,3,0), 'Grilles et calculs individuels'!I42*VLOOKUP($G41,'données complémentaires'!$A$3:$D$73,4,0))*VLOOKUP($G41,$A$3:$E$73,4,0)/VLOOKUP($G41,$A$3:$E$73,2,0)</f>
        <v>0</v>
      </c>
      <c r="O41" s="76" t="n">
        <f aca="false">MIN(VLOOKUP($G41,'plafond sécu et CNAV'!$D$3:$F$74,3,0), 'Grilles et calculs individuels'!J42*VLOOKUP($G41,'données complémentaires'!$A$3:$D$73,4,0))*VLOOKUP($G41,$A$3:$E$73,4,0)/VLOOKUP($G41,$A$3:$E$73,2,0)</f>
        <v>0</v>
      </c>
    </row>
    <row r="42" customFormat="false" ht="12.8" hidden="false" customHeight="false" outlineLevel="0" collapsed="false">
      <c r="A42" s="0" t="n">
        <v>2001</v>
      </c>
      <c r="B42" s="56" t="n">
        <v>11.7075509522728</v>
      </c>
      <c r="C42" s="4" t="n">
        <v>0.015</v>
      </c>
      <c r="D42" s="4" t="n">
        <f aca="false">0.061-'données complémentaires'!L42</f>
        <v>0.044</v>
      </c>
      <c r="E42" s="86" t="n">
        <f aca="false">0.16344-'données complémentaires'!L42</f>
        <v>0.14644</v>
      </c>
      <c r="G42" s="54" t="n">
        <f aca="false">'calculs agirc'!H42</f>
        <v>1975</v>
      </c>
      <c r="H42" s="76" t="n">
        <f aca="false">MIN(VLOOKUP($G42,'plafond sécu et CNAV'!$D$3:$F$74,3,0), 'Grilles et calculs individuels'!C43*VLOOKUP($G42,'données complémentaires'!$A$3:$D$73,4,0))*VLOOKUP($G42,$A$3:$E$73,4,0)/VLOOKUP($G42,$A$3:$E$73,2,0)</f>
        <v>11.6263467993024</v>
      </c>
      <c r="I42" s="76" t="n">
        <f aca="false">MIN(VLOOKUP($G42,'plafond sécu et CNAV'!$D$3:$F$74,3,0), 'Grilles et calculs individuels'!D43*VLOOKUP($G42,'données complémentaires'!$A$3:$D$73,4,0))*VLOOKUP($G42,$A$3:$E$73,4,0)/VLOOKUP($G42,$A$3:$E$73,2,0)</f>
        <v>12.0932472172909</v>
      </c>
      <c r="J42" s="76" t="n">
        <f aca="false">MIN(VLOOKUP($G42,'plafond sécu et CNAV'!$D$3:$F$74,3,0), 'Grilles et calculs individuels'!E43*VLOOKUP($G42,'données complémentaires'!$A$3:$D$73,4,0))*VLOOKUP($G42,$A$3:$E$73,4,0)/VLOOKUP($G42,$A$3:$E$73,2,0)</f>
        <v>12.0932472172909</v>
      </c>
      <c r="K42" s="76" t="n">
        <f aca="false">MIN(VLOOKUP($G42,'plafond sécu et CNAV'!$D$3:$F$74,3,0), 'Grilles et calculs individuels'!F43*VLOOKUP($G42,'données complémentaires'!$A$3:$D$73,4,0))*VLOOKUP($G42,$A$3:$E$73,4,0)/VLOOKUP($G42,$A$3:$E$73,2,0)</f>
        <v>12.0932472172909</v>
      </c>
      <c r="L42" s="76" t="n">
        <f aca="false">MIN(VLOOKUP($G42,'plafond sécu et CNAV'!$D$3:$F$74,3,0), 'Grilles et calculs individuels'!G43*VLOOKUP($G42,'données complémentaires'!$A$3:$D$73,4,0))*VLOOKUP($G42,$A$3:$E$73,4,0)/VLOOKUP($G42,$A$3:$E$73,2,0)</f>
        <v>11.3111196193882</v>
      </c>
      <c r="M42" s="76" t="n">
        <f aca="false">MIN(VLOOKUP($G42,'plafond sécu et CNAV'!$D$3:$F$74,3,0), 'Grilles et calculs individuels'!H43*VLOOKUP($G42,'données complémentaires'!$A$3:$D$73,4,0))*VLOOKUP($G42,$A$3:$E$73,4,0)/VLOOKUP($G42,$A$3:$E$73,2,0)</f>
        <v>11.3111196193882</v>
      </c>
      <c r="N42" s="76" t="n">
        <f aca="false">MIN(VLOOKUP($G42,'plafond sécu et CNAV'!$D$3:$F$74,3,0), 'Grilles et calculs individuels'!I43*VLOOKUP($G42,'données complémentaires'!$A$3:$D$73,4,0))*VLOOKUP($G42,$A$3:$E$73,4,0)/VLOOKUP($G42,$A$3:$E$73,2,0)</f>
        <v>0</v>
      </c>
      <c r="O42" s="76" t="n">
        <f aca="false">MIN(VLOOKUP($G42,'plafond sécu et CNAV'!$D$3:$F$74,3,0), 'Grilles et calculs individuels'!J43*VLOOKUP($G42,'données complémentaires'!$A$3:$D$73,4,0))*VLOOKUP($G42,$A$3:$E$73,4,0)/VLOOKUP($G42,$A$3:$E$73,2,0)</f>
        <v>0</v>
      </c>
    </row>
    <row r="43" customFormat="false" ht="12.8" hidden="false" customHeight="false" outlineLevel="0" collapsed="false">
      <c r="A43" s="0" t="n">
        <v>2000</v>
      </c>
      <c r="B43" s="56" t="n">
        <v>11.5345365626101</v>
      </c>
      <c r="C43" s="4" t="n">
        <v>0.053</v>
      </c>
      <c r="D43" s="4" t="n">
        <f aca="false">0.061-'données complémentaires'!L43</f>
        <v>0.044</v>
      </c>
      <c r="E43" s="86" t="n">
        <f aca="false">0.16344-'données complémentaires'!L43</f>
        <v>0.14644</v>
      </c>
      <c r="G43" s="54" t="n">
        <f aca="false">'calculs agirc'!H43</f>
        <v>1974</v>
      </c>
      <c r="H43" s="76" t="n">
        <f aca="false">MIN(VLOOKUP($G43,'plafond sécu et CNAV'!$D$3:$F$74,3,0), 'Grilles et calculs individuels'!C44*VLOOKUP($G43,'données complémentaires'!$A$3:$D$73,4,0))*VLOOKUP($G43,$A$3:$E$73,4,0)/VLOOKUP($G43,$A$3:$E$73,2,0)</f>
        <v>12.1650174213867</v>
      </c>
      <c r="I43" s="76" t="n">
        <f aca="false">MIN(VLOOKUP($G43,'plafond sécu et CNAV'!$D$3:$F$74,3,0), 'Grilles et calculs individuels'!D44*VLOOKUP($G43,'données complémentaires'!$A$3:$D$73,4,0))*VLOOKUP($G43,$A$3:$E$73,4,0)/VLOOKUP($G43,$A$3:$E$73,2,0)</f>
        <v>12.1650174213867</v>
      </c>
      <c r="J43" s="76" t="n">
        <f aca="false">MIN(VLOOKUP($G43,'plafond sécu et CNAV'!$D$3:$F$74,3,0), 'Grilles et calculs individuels'!E44*VLOOKUP($G43,'données complémentaires'!$A$3:$D$73,4,0))*VLOOKUP($G43,$A$3:$E$73,4,0)/VLOOKUP($G43,$A$3:$E$73,2,0)</f>
        <v>12.1650174213867</v>
      </c>
      <c r="K43" s="76" t="n">
        <f aca="false">MIN(VLOOKUP($G43,'plafond sécu et CNAV'!$D$3:$F$74,3,0), 'Grilles et calculs individuels'!F44*VLOOKUP($G43,'données complémentaires'!$A$3:$D$73,4,0))*VLOOKUP($G43,$A$3:$E$73,4,0)/VLOOKUP($G43,$A$3:$E$73,2,0)</f>
        <v>12.1650174213867</v>
      </c>
      <c r="L43" s="76" t="n">
        <f aca="false">MIN(VLOOKUP($G43,'plafond sécu et CNAV'!$D$3:$F$74,3,0), 'Grilles et calculs individuels'!G44*VLOOKUP($G43,'données complémentaires'!$A$3:$D$73,4,0))*VLOOKUP($G43,$A$3:$E$73,4,0)/VLOOKUP($G43,$A$3:$E$73,2,0)</f>
        <v>11.8749189744224</v>
      </c>
      <c r="M43" s="76" t="n">
        <f aca="false">MIN(VLOOKUP($G43,'plafond sécu et CNAV'!$D$3:$F$74,3,0), 'Grilles et calculs individuels'!H44*VLOOKUP($G43,'données complémentaires'!$A$3:$D$73,4,0))*VLOOKUP($G43,$A$3:$E$73,4,0)/VLOOKUP($G43,$A$3:$E$73,2,0)</f>
        <v>11.8749189744224</v>
      </c>
      <c r="N43" s="76" t="n">
        <f aca="false">MIN(VLOOKUP($G43,'plafond sécu et CNAV'!$D$3:$F$74,3,0), 'Grilles et calculs individuels'!I44*VLOOKUP($G43,'données complémentaires'!$A$3:$D$73,4,0))*VLOOKUP($G43,$A$3:$E$73,4,0)/VLOOKUP($G43,$A$3:$E$73,2,0)</f>
        <v>0</v>
      </c>
      <c r="O43" s="76" t="n">
        <f aca="false">MIN(VLOOKUP($G43,'plafond sécu et CNAV'!$D$3:$F$74,3,0), 'Grilles et calculs individuels'!J44*VLOOKUP($G43,'données complémentaires'!$A$3:$D$73,4,0))*VLOOKUP($G43,$A$3:$E$73,4,0)/VLOOKUP($G43,$A$3:$E$73,2,0)</f>
        <v>0</v>
      </c>
    </row>
    <row r="44" customFormat="false" ht="12.8" hidden="false" customHeight="false" outlineLevel="0" collapsed="false">
      <c r="A44" s="0" t="n">
        <v>1999</v>
      </c>
      <c r="B44" s="56" t="n">
        <v>10.9539802151665</v>
      </c>
      <c r="C44" s="4" t="n">
        <v>0.0688311688311681</v>
      </c>
      <c r="D44" s="4" t="n">
        <f aca="false">0.061-'données complémentaires'!L44</f>
        <v>0.043</v>
      </c>
      <c r="E44" s="86" t="n">
        <f aca="false">0.16344-'données complémentaires'!L44</f>
        <v>0.14544</v>
      </c>
      <c r="G44" s="54" t="n">
        <f aca="false">'calculs agirc'!H44</f>
        <v>1973</v>
      </c>
      <c r="H44" s="76" t="n">
        <f aca="false">MIN(VLOOKUP($G44,'plafond sécu et CNAV'!$D$3:$F$74,3,0), 'Grilles et calculs individuels'!C45*VLOOKUP($G44,'données complémentaires'!$A$3:$D$73,4,0))*VLOOKUP($G44,$A$3:$E$73,4,0)/VLOOKUP($G44,$A$3:$E$73,2,0)</f>
        <v>12.051625894877</v>
      </c>
      <c r="I44" s="76" t="n">
        <f aca="false">MIN(VLOOKUP($G44,'plafond sécu et CNAV'!$D$3:$F$74,3,0), 'Grilles et calculs individuels'!D45*VLOOKUP($G44,'données complémentaires'!$A$3:$D$73,4,0))*VLOOKUP($G44,$A$3:$E$73,4,0)/VLOOKUP($G44,$A$3:$E$73,2,0)</f>
        <v>12.1726436745801</v>
      </c>
      <c r="J44" s="76" t="n">
        <f aca="false">MIN(VLOOKUP($G44,'plafond sécu et CNAV'!$D$3:$F$74,3,0), 'Grilles et calculs individuels'!E45*VLOOKUP($G44,'données complémentaires'!$A$3:$D$73,4,0))*VLOOKUP($G44,$A$3:$E$73,4,0)/VLOOKUP($G44,$A$3:$E$73,2,0)</f>
        <v>12.1726436745801</v>
      </c>
      <c r="K44" s="76" t="n">
        <f aca="false">MIN(VLOOKUP($G44,'plafond sécu et CNAV'!$D$3:$F$74,3,0), 'Grilles et calculs individuels'!F45*VLOOKUP($G44,'données complémentaires'!$A$3:$D$73,4,0))*VLOOKUP($G44,$A$3:$E$73,4,0)/VLOOKUP($G44,$A$3:$E$73,2,0)</f>
        <v>12.1726436745801</v>
      </c>
      <c r="L44" s="76" t="n">
        <f aca="false">MIN(VLOOKUP($G44,'plafond sécu et CNAV'!$D$3:$F$74,3,0), 'Grilles et calculs individuels'!G45*VLOOKUP($G44,'données complémentaires'!$A$3:$D$73,4,0))*VLOOKUP($G44,$A$3:$E$73,4,0)/VLOOKUP($G44,$A$3:$E$73,2,0)</f>
        <v>11.8304301537362</v>
      </c>
      <c r="M44" s="76" t="n">
        <f aca="false">MIN(VLOOKUP($G44,'plafond sécu et CNAV'!$D$3:$F$74,3,0), 'Grilles et calculs individuels'!H45*VLOOKUP($G44,'données complémentaires'!$A$3:$D$73,4,0))*VLOOKUP($G44,$A$3:$E$73,4,0)/VLOOKUP($G44,$A$3:$E$73,2,0)</f>
        <v>11.8304301537362</v>
      </c>
      <c r="N44" s="76" t="n">
        <f aca="false">MIN(VLOOKUP($G44,'plafond sécu et CNAV'!$D$3:$F$74,3,0), 'Grilles et calculs individuels'!I45*VLOOKUP($G44,'données complémentaires'!$A$3:$D$73,4,0))*VLOOKUP($G44,$A$3:$E$73,4,0)/VLOOKUP($G44,$A$3:$E$73,2,0)</f>
        <v>0</v>
      </c>
      <c r="O44" s="76" t="n">
        <f aca="false">MIN(VLOOKUP($G44,'plafond sécu et CNAV'!$D$3:$F$74,3,0), 'Grilles et calculs individuels'!J45*VLOOKUP($G44,'données complémentaires'!$A$3:$D$73,4,0))*VLOOKUP($G44,$A$3:$E$73,4,0)/VLOOKUP($G44,$A$3:$E$73,2,0)</f>
        <v>0</v>
      </c>
    </row>
    <row r="45" customFormat="false" ht="12.8" hidden="false" customHeight="false" outlineLevel="0" collapsed="false">
      <c r="A45" s="0" t="n">
        <v>1998</v>
      </c>
      <c r="B45" s="56" t="n">
        <f aca="false">B44/(1+C44)</f>
        <v>10.2485598610914</v>
      </c>
      <c r="C45" s="4" t="n">
        <v>0.0377358490566023</v>
      </c>
      <c r="D45" s="4" t="n">
        <f aca="false">0.061-'données complémentaires'!L45</f>
        <v>0.0455</v>
      </c>
      <c r="E45" s="86" t="n">
        <f aca="false">0.16344-'données complémentaires'!L45</f>
        <v>0.14794</v>
      </c>
      <c r="G45" s="54" t="n">
        <f aca="false">'calculs agirc'!H45</f>
        <v>1972</v>
      </c>
      <c r="H45" s="76" t="n">
        <f aca="false">MIN(VLOOKUP($G45,'plafond sécu et CNAV'!$D$3:$F$74,3,0), 'Grilles et calculs individuels'!C46*VLOOKUP($G45,'données complémentaires'!$A$3:$D$73,4,0))*VLOOKUP($G45,$A$3:$E$73,4,0)/VLOOKUP($G45,$A$3:$E$73,2,0)</f>
        <v>0</v>
      </c>
      <c r="I45" s="76" t="n">
        <f aca="false">MIN(VLOOKUP($G45,'plafond sécu et CNAV'!$D$3:$F$74,3,0), 'Grilles et calculs individuels'!D46*VLOOKUP($G45,'données complémentaires'!$A$3:$D$73,4,0))*VLOOKUP($G45,$A$3:$E$73,4,0)/VLOOKUP($G45,$A$3:$E$73,2,0)</f>
        <v>12.0261360212007</v>
      </c>
      <c r="J45" s="76" t="n">
        <f aca="false">MIN(VLOOKUP($G45,'plafond sécu et CNAV'!$D$3:$F$74,3,0), 'Grilles et calculs individuels'!E46*VLOOKUP($G45,'données complémentaires'!$A$3:$D$73,4,0))*VLOOKUP($G45,$A$3:$E$73,4,0)/VLOOKUP($G45,$A$3:$E$73,2,0)</f>
        <v>0</v>
      </c>
      <c r="K45" s="76" t="n">
        <f aca="false">MIN(VLOOKUP($G45,'plafond sécu et CNAV'!$D$3:$F$74,3,0), 'Grilles et calculs individuels'!F46*VLOOKUP($G45,'données complémentaires'!$A$3:$D$73,4,0))*VLOOKUP($G45,$A$3:$E$73,4,0)/VLOOKUP($G45,$A$3:$E$73,2,0)</f>
        <v>0</v>
      </c>
      <c r="L45" s="76" t="n">
        <f aca="false">MIN(VLOOKUP($G45,'plafond sécu et CNAV'!$D$3:$F$74,3,0), 'Grilles et calculs individuels'!G46*VLOOKUP($G45,'données complémentaires'!$A$3:$D$73,4,0))*VLOOKUP($G45,$A$3:$E$73,4,0)/VLOOKUP($G45,$A$3:$E$73,2,0)</f>
        <v>0</v>
      </c>
      <c r="M45" s="76" t="n">
        <f aca="false">MIN(VLOOKUP($G45,'plafond sécu et CNAV'!$D$3:$F$74,3,0), 'Grilles et calculs individuels'!H46*VLOOKUP($G45,'données complémentaires'!$A$3:$D$73,4,0))*VLOOKUP($G45,$A$3:$E$73,4,0)/VLOOKUP($G45,$A$3:$E$73,2,0)</f>
        <v>0</v>
      </c>
      <c r="N45" s="76" t="n">
        <f aca="false">MIN(VLOOKUP($G45,'plafond sécu et CNAV'!$D$3:$F$74,3,0), 'Grilles et calculs individuels'!I46*VLOOKUP($G45,'données complémentaires'!$A$3:$D$73,4,0))*VLOOKUP($G45,$A$3:$E$73,4,0)/VLOOKUP($G45,$A$3:$E$73,2,0)</f>
        <v>0</v>
      </c>
      <c r="O45" s="76" t="n">
        <f aca="false">MIN(VLOOKUP($G45,'plafond sécu et CNAV'!$D$3:$F$74,3,0), 'Grilles et calculs individuels'!J46*VLOOKUP($G45,'données complémentaires'!$A$3:$D$73,4,0))*VLOOKUP($G45,$A$3:$E$73,4,0)/VLOOKUP($G45,$A$3:$E$73,2,0)</f>
        <v>0</v>
      </c>
    </row>
    <row r="46" customFormat="false" ht="12.8" hidden="false" customHeight="false" outlineLevel="0" collapsed="false">
      <c r="A46" s="0" t="n">
        <v>1997</v>
      </c>
      <c r="B46" s="56" t="n">
        <f aca="false">B45/(1+C45)</f>
        <v>9.87588495705172</v>
      </c>
      <c r="C46" s="4" t="n">
        <v>0.0519848771266568</v>
      </c>
      <c r="D46" s="4" t="n">
        <f aca="false">0.061-'données complémentaires'!L46</f>
        <v>0.048</v>
      </c>
      <c r="E46" s="86" t="n">
        <f aca="false">0.16344-'données complémentaires'!L46</f>
        <v>0.15044</v>
      </c>
      <c r="G46" s="88" t="s">
        <v>93</v>
      </c>
      <c r="H46" s="89" t="n">
        <f aca="false">SUM(H3:H45)</f>
        <v>368.033438956813</v>
      </c>
      <c r="I46" s="89" t="n">
        <f aca="false">SUM(I3:I45)</f>
        <v>414.479674565355</v>
      </c>
      <c r="J46" s="89" t="n">
        <f aca="false">SUM(J3:J45)</f>
        <v>402.453538544155</v>
      </c>
      <c r="K46" s="89" t="n">
        <f aca="false">SUM(K3:K45)</f>
        <v>402.110978056571</v>
      </c>
      <c r="L46" s="89" t="n">
        <f aca="false">SUM(L3:L45)</f>
        <v>320.846642559674</v>
      </c>
      <c r="M46" s="89" t="n">
        <f aca="false">SUM(M3:M45)</f>
        <v>320.846642559674</v>
      </c>
      <c r="N46" s="89" t="n">
        <f aca="false">SUM(N3:N45)</f>
        <v>245.64950402098</v>
      </c>
      <c r="O46" s="89" t="n">
        <f aca="false">SUM(O3:O45)</f>
        <v>332.059329143684</v>
      </c>
    </row>
    <row r="47" customFormat="false" ht="12.8" hidden="false" customHeight="false" outlineLevel="0" collapsed="false">
      <c r="A47" s="0" t="n">
        <v>1996</v>
      </c>
      <c r="B47" s="56" t="n">
        <f aca="false">B46/(1+C46)</f>
        <v>9.38785829699972</v>
      </c>
      <c r="C47" s="4" t="n">
        <v>0.056415376934597</v>
      </c>
      <c r="D47" s="4" t="n">
        <f aca="false">0.061-'données complémentaires'!L47</f>
        <v>0.0505</v>
      </c>
      <c r="E47" s="86" t="n">
        <f aca="false">0.16344-'données complémentaires'!L47</f>
        <v>0.15294</v>
      </c>
      <c r="G47" s="0"/>
      <c r="H47" s="0"/>
      <c r="I47" s="0"/>
      <c r="J47" s="0"/>
      <c r="K47" s="0"/>
      <c r="L47" s="0"/>
      <c r="M47" s="0"/>
    </row>
    <row r="48" customFormat="false" ht="12.8" hidden="false" customHeight="false" outlineLevel="0" collapsed="false">
      <c r="A48" s="0" t="n">
        <v>1995</v>
      </c>
      <c r="B48" s="56" t="n">
        <f aca="false">B47/(1+C47)</f>
        <v>8.88652181894634</v>
      </c>
      <c r="C48" s="4" t="n">
        <v>0.026127049180328</v>
      </c>
      <c r="D48" s="4" t="n">
        <f aca="false">0.061-'données complémentaires'!L48</f>
        <v>0.0515</v>
      </c>
      <c r="E48" s="86" t="n">
        <f aca="false">0.16344-'données complémentaires'!L48</f>
        <v>0.15394</v>
      </c>
      <c r="G48" s="0"/>
      <c r="H48" s="0"/>
      <c r="I48" s="0"/>
      <c r="J48" s="0"/>
      <c r="K48" s="0"/>
      <c r="L48" s="0"/>
      <c r="M48" s="0"/>
    </row>
    <row r="49" customFormat="false" ht="12.8" hidden="false" customHeight="false" outlineLevel="0" collapsed="false">
      <c r="A49" s="0" t="n">
        <v>1994</v>
      </c>
      <c r="B49" s="56" t="n">
        <f aca="false">B48/(1+C48)</f>
        <v>8.66025491292224</v>
      </c>
      <c r="C49" s="4" t="n">
        <v>0.0124481327800836</v>
      </c>
      <c r="D49" s="4" t="n">
        <f aca="false">0.061-'données complémentaires'!L49</f>
        <v>0.0515</v>
      </c>
      <c r="E49" s="86" t="n">
        <f aca="false">0.16344-'données complémentaires'!L49</f>
        <v>0.15394</v>
      </c>
      <c r="G49" s="0"/>
      <c r="H49" s="0"/>
      <c r="I49" s="0"/>
      <c r="J49" s="0"/>
      <c r="K49" s="0"/>
      <c r="L49" s="0"/>
      <c r="M49" s="0"/>
    </row>
    <row r="50" customFormat="false" ht="12.8" hidden="false" customHeight="false" outlineLevel="0" collapsed="false">
      <c r="A50" s="0" t="n">
        <v>1993</v>
      </c>
      <c r="B50" s="56" t="n">
        <f aca="false">B49/(1+C49)</f>
        <v>8.5537763689109</v>
      </c>
      <c r="C50" s="4" t="n">
        <v>0.00260010400415987</v>
      </c>
      <c r="D50" s="4" t="n">
        <f aca="false">0.061-'données complémentaires'!L50</f>
        <v>0.0515</v>
      </c>
      <c r="E50" s="86" t="n">
        <f aca="false">0.16344-'données complémentaires'!L50</f>
        <v>0.15394</v>
      </c>
      <c r="G50" s="0"/>
      <c r="H50" s="0"/>
      <c r="I50" s="0"/>
      <c r="J50" s="0"/>
      <c r="K50" s="0"/>
      <c r="L50" s="0"/>
      <c r="M50" s="0"/>
    </row>
    <row r="51" customFormat="false" ht="12.8" hidden="false" customHeight="false" outlineLevel="0" collapsed="false">
      <c r="A51" s="0" t="n">
        <v>1992</v>
      </c>
      <c r="B51" s="56" t="n">
        <f aca="false">B50/(1+C50)</f>
        <v>8.53159333890854</v>
      </c>
      <c r="C51" s="4" t="n">
        <v>0.0228723404255297</v>
      </c>
      <c r="D51" s="4" t="n">
        <f aca="false">0.061-'données complémentaires'!L51</f>
        <v>0.054</v>
      </c>
      <c r="E51" s="86" t="n">
        <f aca="false">0.16344-'données complémentaires'!L51</f>
        <v>0.15644</v>
      </c>
      <c r="G51" s="0"/>
      <c r="H51" s="0"/>
      <c r="I51" s="0"/>
      <c r="J51" s="0"/>
      <c r="K51" s="0"/>
      <c r="L51" s="0"/>
      <c r="M51" s="0"/>
    </row>
    <row r="52" customFormat="false" ht="12.8" hidden="false" customHeight="false" outlineLevel="0" collapsed="false">
      <c r="A52" s="0" t="n">
        <v>1991</v>
      </c>
      <c r="B52" s="56" t="n">
        <f aca="false">B51/(1+C51)</f>
        <v>8.34081928088824</v>
      </c>
      <c r="C52" s="4" t="n">
        <v>0.032399780340475</v>
      </c>
      <c r="D52" s="4" t="n">
        <f aca="false">0.061-'données complémentaires'!L52</f>
        <v>0.054</v>
      </c>
      <c r="E52" s="86" t="n">
        <f aca="false">0.16344-'données complémentaires'!L52</f>
        <v>0.15644</v>
      </c>
      <c r="G52" s="0"/>
      <c r="H52" s="0"/>
      <c r="I52" s="0"/>
      <c r="J52" s="0"/>
      <c r="K52" s="0"/>
      <c r="L52" s="0"/>
      <c r="M52" s="0"/>
    </row>
    <row r="53" customFormat="false" ht="12.8" hidden="false" customHeight="false" outlineLevel="0" collapsed="false">
      <c r="A53" s="0" t="n">
        <v>1990</v>
      </c>
      <c r="B53" s="56" t="n">
        <f aca="false">B52/(1+C52)</f>
        <v>8.07905952686034</v>
      </c>
      <c r="C53" s="4" t="n">
        <v>0.0459506031016665</v>
      </c>
      <c r="D53" s="4" t="n">
        <f aca="false">0.061-'données complémentaires'!L53</f>
        <v>0.0645</v>
      </c>
      <c r="E53" s="86" t="n">
        <f aca="false">0.16344-'données complémentaires'!L53</f>
        <v>0.16694</v>
      </c>
      <c r="G53" s="0" t="s">
        <v>94</v>
      </c>
      <c r="H53" s="0"/>
      <c r="I53" s="83"/>
      <c r="J53" s="4"/>
      <c r="K53" s="0"/>
      <c r="L53" s="0"/>
      <c r="M53" s="0"/>
    </row>
    <row r="54" customFormat="false" ht="14" hidden="false" customHeight="false" outlineLevel="0" collapsed="false">
      <c r="A54" s="0" t="n">
        <v>1989</v>
      </c>
      <c r="B54" s="56" t="n">
        <f aca="false">B53/(1+C53)</f>
        <v>7.72413104682254</v>
      </c>
      <c r="C54" s="4" t="n">
        <v>0.0437649880095886</v>
      </c>
      <c r="D54" s="4" t="n">
        <f aca="false">0.061-'données complémentaires'!L54</f>
        <v>0.054</v>
      </c>
      <c r="E54" s="86" t="n">
        <f aca="false">0.16344-'données complémentaires'!L54</f>
        <v>0.15644</v>
      </c>
      <c r="G54" s="84" t="s">
        <v>64</v>
      </c>
      <c r="H54" s="85" t="s">
        <v>3</v>
      </c>
      <c r="I54" s="85" t="s">
        <v>66</v>
      </c>
      <c r="J54" s="85" t="s">
        <v>5</v>
      </c>
      <c r="K54" s="85" t="s">
        <v>6</v>
      </c>
      <c r="L54" s="85" t="s">
        <v>67</v>
      </c>
      <c r="M54" s="85" t="s">
        <v>68</v>
      </c>
      <c r="N54" s="85" t="s">
        <v>69</v>
      </c>
      <c r="O54" s="84" t="s">
        <v>10</v>
      </c>
    </row>
    <row r="55" customFormat="false" ht="12.8" hidden="false" customHeight="false" outlineLevel="0" collapsed="false">
      <c r="A55" s="0" t="n">
        <v>1988</v>
      </c>
      <c r="B55" s="56" t="n">
        <f aca="false">B54/(1+C54)</f>
        <v>7.40025880878808</v>
      </c>
      <c r="C55" s="4" t="n">
        <v>0.0411985018726629</v>
      </c>
      <c r="D55" s="4" t="n">
        <f aca="false">0.061-'données complémentaires'!L55</f>
        <v>0.0448</v>
      </c>
      <c r="E55" s="86" t="n">
        <f aca="false">0.16344-'données complémentaires'!L55</f>
        <v>0.14724</v>
      </c>
      <c r="G55" s="54" t="n">
        <v>0</v>
      </c>
      <c r="H55" s="76" t="n">
        <f aca="false">MAX(0, 'Grilles et calculs individuels'!C4*'données complémentaires'!$D10-'plafond sécu et CNAV'!$F10)*$E10/$B10</f>
        <v>0</v>
      </c>
      <c r="I55" s="76" t="n">
        <f aca="false">MAX(0, 'Grilles et calculs individuels'!D4*'données complémentaires'!$D10-'plafond sécu et CNAV'!$F10)*$E10/$B10</f>
        <v>24.2142140259127</v>
      </c>
      <c r="J55" s="76" t="n">
        <f aca="false">MAX(0, 'Grilles et calculs individuels'!E4*'données complémentaires'!$D10-'plafond sécu et CNAV'!$F10)*$E10/$B10</f>
        <v>7.20291087824155</v>
      </c>
      <c r="K55" s="76" t="n">
        <f aca="false">MAX(0, 'Grilles et calculs individuels'!F4*'données complémentaires'!$D10-'plafond sécu et CNAV'!$F10)*$E10/$B10</f>
        <v>0</v>
      </c>
      <c r="L55" s="76" t="n">
        <f aca="false">MAX(0, 'Grilles et calculs individuels'!G4*'données complémentaires'!$D10-'plafond sécu et CNAV'!$F10)*$E10/$B10</f>
        <v>0</v>
      </c>
      <c r="M55" s="76" t="n">
        <f aca="false">MAX(0, 'Grilles et calculs individuels'!H4*'données complémentaires'!$D10-'plafond sécu et CNAV'!$F10)*$E10/$B10</f>
        <v>0</v>
      </c>
      <c r="N55" s="76" t="n">
        <f aca="false">MAX(0, 'Grilles et calculs individuels'!I4*'données complémentaires'!$D10-'plafond sécu et CNAV'!$F10)*$E10/$B10</f>
        <v>0</v>
      </c>
      <c r="O55" s="76" t="s">
        <v>70</v>
      </c>
    </row>
    <row r="56" customFormat="false" ht="12.8" hidden="false" customHeight="false" outlineLevel="0" collapsed="false">
      <c r="A56" s="0" t="n">
        <v>1987</v>
      </c>
      <c r="B56" s="56" t="n">
        <f aca="false">B55/(1+C55)</f>
        <v>7.10744281275687</v>
      </c>
      <c r="C56" s="4" t="n">
        <v>0.026923076923076</v>
      </c>
      <c r="D56" s="4" t="n">
        <f aca="false">0.061-'données complémentaires'!L56</f>
        <v>0.0552</v>
      </c>
      <c r="E56" s="86" t="n">
        <f aca="false">0.16344-'données complémentaires'!L56</f>
        <v>0.15764</v>
      </c>
      <c r="G56" s="54" t="n">
        <v>1</v>
      </c>
      <c r="H56" s="76" t="n">
        <f aca="false">MAX(0, 'Grilles et calculs individuels'!C5*'données complémentaires'!$D11-'plafond sécu et CNAV'!$F11)*$E11/$B11</f>
        <v>0</v>
      </c>
      <c r="I56" s="76" t="s">
        <v>70</v>
      </c>
      <c r="J56" s="76" t="s">
        <v>70</v>
      </c>
      <c r="K56" s="76" t="s">
        <v>70</v>
      </c>
      <c r="L56" s="76" t="n">
        <f aca="false">MAX(0, 'Grilles et calculs individuels'!G5*'données complémentaires'!$D18-'plafond sécu et CNAV'!$F18)*$E18/$B18</f>
        <v>0</v>
      </c>
      <c r="M56" s="76" t="n">
        <f aca="false">MAX(0, 'Grilles et calculs individuels'!H5*'données complémentaires'!$D18-'plafond sécu et CNAV'!$F18)*$E18/$B18</f>
        <v>0</v>
      </c>
      <c r="N56" s="76" t="n">
        <f aca="false">MAX(0, 'Grilles et calculs individuels'!I5*'données complémentaires'!$D18-'plafond sécu et CNAV'!$F18)*$E18/$B18</f>
        <v>0</v>
      </c>
      <c r="O56" s="76" t="s">
        <v>70</v>
      </c>
    </row>
    <row r="57" customFormat="false" ht="12.8" hidden="false" customHeight="false" outlineLevel="0" collapsed="false">
      <c r="A57" s="0" t="n">
        <v>1986</v>
      </c>
      <c r="B57" s="56" t="n">
        <f aca="false">B56/(1+C56)</f>
        <v>6.92110536073703</v>
      </c>
      <c r="C57" s="4" t="n">
        <v>0.0526315789473683</v>
      </c>
      <c r="D57" s="4" t="n">
        <f aca="false">0.061-'données complémentaires'!L57</f>
        <v>0.0552</v>
      </c>
      <c r="E57" s="86" t="n">
        <f aca="false">0.16344-'données complémentaires'!L57</f>
        <v>0.15764</v>
      </c>
      <c r="G57" s="54" t="n">
        <v>2</v>
      </c>
      <c r="H57" s="76" t="n">
        <f aca="false">MAX(0, 'Grilles et calculs individuels'!C6*'données complémentaires'!$D12-'plafond sécu et CNAV'!$F12)*$E12/$B12</f>
        <v>0</v>
      </c>
      <c r="I57" s="76" t="s">
        <v>70</v>
      </c>
      <c r="J57" s="76" t="s">
        <v>70</v>
      </c>
      <c r="K57" s="76" t="s">
        <v>70</v>
      </c>
      <c r="L57" s="76" t="n">
        <f aca="false">MAX(0, 'Grilles et calculs individuels'!G6*'données complémentaires'!$D19-'plafond sécu et CNAV'!$F19)*$E19/$B19</f>
        <v>0</v>
      </c>
      <c r="M57" s="76" t="n">
        <f aca="false">MAX(0, 'Grilles et calculs individuels'!H6*'données complémentaires'!$D19-'plafond sécu et CNAV'!$F19)*$E19/$B19</f>
        <v>0</v>
      </c>
      <c r="N57" s="76" t="n">
        <f aca="false">MAX(0, 'Grilles et calculs individuels'!I6*'données complémentaires'!$D19-'plafond sécu et CNAV'!$F19)*$E19/$B19</f>
        <v>0</v>
      </c>
      <c r="O57" s="76" t="s">
        <v>70</v>
      </c>
    </row>
    <row r="58" customFormat="false" ht="12.8" hidden="false" customHeight="false" outlineLevel="0" collapsed="false">
      <c r="A58" s="0" t="n">
        <v>1985</v>
      </c>
      <c r="B58" s="56" t="n">
        <f aca="false">B57/(1+C57)</f>
        <v>6.57505009270018</v>
      </c>
      <c r="C58" s="4" t="n">
        <v>0.0677233429394784</v>
      </c>
      <c r="D58" s="4" t="n">
        <f aca="false">0.061-'données complémentaires'!L58</f>
        <v>0.0482</v>
      </c>
      <c r="E58" s="86" t="n">
        <f aca="false">0.16344-'données complémentaires'!L58</f>
        <v>0.15064</v>
      </c>
      <c r="G58" s="54" t="n">
        <v>3</v>
      </c>
      <c r="H58" s="76" t="n">
        <f aca="false">MAX(0, 'Grilles et calculs individuels'!C7*'données complémentaires'!$D13-'plafond sécu et CNAV'!$F13)*$E13/$B13</f>
        <v>0</v>
      </c>
      <c r="I58" s="76" t="s">
        <v>70</v>
      </c>
      <c r="J58" s="76" t="s">
        <v>70</v>
      </c>
      <c r="K58" s="76" t="s">
        <v>70</v>
      </c>
      <c r="L58" s="76" t="n">
        <f aca="false">MAX(0, 'Grilles et calculs individuels'!G7*'données complémentaires'!$D20-'plafond sécu et CNAV'!$F20)*$E20/$B20</f>
        <v>0</v>
      </c>
      <c r="M58" s="76" t="n">
        <f aca="false">MAX(0, 'Grilles et calculs individuels'!H7*'données complémentaires'!$D20-'plafond sécu et CNAV'!$F20)*$E20/$B20</f>
        <v>0</v>
      </c>
      <c r="N58" s="76" t="n">
        <f aca="false">MAX(0, 'Grilles et calculs individuels'!I7*'données complémentaires'!$D20-'plafond sécu et CNAV'!$F20)*$E20/$B20</f>
        <v>0</v>
      </c>
      <c r="O58" s="76" t="s">
        <v>70</v>
      </c>
    </row>
    <row r="59" customFormat="false" ht="12.8" hidden="false" customHeight="false" outlineLevel="0" collapsed="false">
      <c r="A59" s="0" t="n">
        <v>1984</v>
      </c>
      <c r="B59" s="56" t="n">
        <f aca="false">B58/(1+C58)</f>
        <v>6.15800912865579</v>
      </c>
      <c r="C59" s="4" t="n">
        <v>0.061973986228007</v>
      </c>
      <c r="D59" s="4" t="n">
        <f aca="false">0.061-'données complémentaires'!L59</f>
        <v>0.0552</v>
      </c>
      <c r="E59" s="86" t="n">
        <f aca="false">0.16344-'données complémentaires'!L59</f>
        <v>0.15764</v>
      </c>
      <c r="G59" s="54" t="n">
        <v>4</v>
      </c>
      <c r="H59" s="76" t="n">
        <f aca="false">MAX(0, 'Grilles et calculs individuels'!C8*'données complémentaires'!$D14-'plafond sécu et CNAV'!$F14)*$E14/$B14</f>
        <v>0</v>
      </c>
      <c r="I59" s="76" t="s">
        <v>70</v>
      </c>
      <c r="J59" s="76" t="s">
        <v>70</v>
      </c>
      <c r="K59" s="76" t="s">
        <v>70</v>
      </c>
      <c r="L59" s="76" t="n">
        <f aca="false">MAX(0, 'Grilles et calculs individuels'!G8*'données complémentaires'!$D21-'plafond sécu et CNAV'!$F21)*$E21/$B21</f>
        <v>0</v>
      </c>
      <c r="M59" s="76" t="n">
        <f aca="false">MAX(0, 'Grilles et calculs individuels'!H8*'données complémentaires'!$D21-'plafond sécu et CNAV'!$F21)*$E21/$B21</f>
        <v>0</v>
      </c>
      <c r="N59" s="76" t="n">
        <f aca="false">MAX(0, 'Grilles et calculs individuels'!I8*'données complémentaires'!$D21-'plafond sécu et CNAV'!$F21)*$E21/$B21</f>
        <v>0</v>
      </c>
      <c r="O59" s="76" t="s">
        <v>70</v>
      </c>
    </row>
    <row r="60" customFormat="false" ht="12.8" hidden="false" customHeight="false" outlineLevel="0" collapsed="false">
      <c r="A60" s="0" t="n">
        <v>1983</v>
      </c>
      <c r="B60" s="56" t="n">
        <f aca="false">B59/(1+C59)</f>
        <v>5.7986440426175</v>
      </c>
      <c r="C60" s="4" t="n">
        <v>0.109507640067912</v>
      </c>
      <c r="D60" s="4" t="n">
        <f aca="false">0.061-'données complémentaires'!L60</f>
        <v>0.0456</v>
      </c>
      <c r="E60" s="86" t="n">
        <f aca="false">0.16344-'données complémentaires'!L60</f>
        <v>0.14804</v>
      </c>
      <c r="G60" s="54" t="n">
        <v>5</v>
      </c>
      <c r="H60" s="76" t="n">
        <f aca="false">MAX(0, 'Grilles et calculs individuels'!C9*'données complémentaires'!$D15-'plafond sécu et CNAV'!$F15)*$E15/$B15</f>
        <v>0</v>
      </c>
      <c r="I60" s="76" t="s">
        <v>70</v>
      </c>
      <c r="J60" s="76" t="s">
        <v>70</v>
      </c>
      <c r="K60" s="76" t="s">
        <v>70</v>
      </c>
      <c r="L60" s="76" t="n">
        <f aca="false">MAX(0, 'Grilles et calculs individuels'!G9*'données complémentaires'!$D22-'plafond sécu et CNAV'!$F22)*$E22/$B22</f>
        <v>0</v>
      </c>
      <c r="M60" s="76" t="n">
        <f aca="false">MAX(0, 'Grilles et calculs individuels'!H9*'données complémentaires'!$D22-'plafond sécu et CNAV'!$F22)*$E22/$B22</f>
        <v>0</v>
      </c>
      <c r="N60" s="76" t="n">
        <f aca="false">MAX(0, 'Grilles et calculs individuels'!I9*'données complémentaires'!$D22-'plafond sécu et CNAV'!$F22)*$E22/$B22</f>
        <v>0</v>
      </c>
      <c r="O60" s="76" t="s">
        <v>70</v>
      </c>
    </row>
    <row r="61" customFormat="false" ht="12.8" hidden="false" customHeight="false" outlineLevel="0" collapsed="false">
      <c r="A61" s="0" t="n">
        <v>1982</v>
      </c>
      <c r="B61" s="56" t="n">
        <f aca="false">B60/(1+C60)</f>
        <v>5.22632186855655</v>
      </c>
      <c r="C61" s="4" t="n">
        <v>0.111320754716979</v>
      </c>
      <c r="D61" s="4" t="n">
        <f aca="false">0.061-'données complémentaires'!L61</f>
        <v>0.0464</v>
      </c>
      <c r="E61" s="86" t="n">
        <f aca="false">0.16344-'données complémentaires'!L61</f>
        <v>0.14884</v>
      </c>
      <c r="G61" s="54" t="n">
        <v>6</v>
      </c>
      <c r="H61" s="76" t="n">
        <f aca="false">MAX(0, 'Grilles et calculs individuels'!C10*'données complémentaires'!$D16-'plafond sécu et CNAV'!$F16)*$E16/$B16</f>
        <v>0</v>
      </c>
      <c r="I61" s="76" t="s">
        <v>70</v>
      </c>
      <c r="J61" s="76" t="s">
        <v>70</v>
      </c>
      <c r="K61" s="76" t="s">
        <v>70</v>
      </c>
      <c r="L61" s="76" t="n">
        <f aca="false">MAX(0, 'Grilles et calculs individuels'!G10*'données complémentaires'!$D23-'plafond sécu et CNAV'!$F23)*$E23/$B23</f>
        <v>0</v>
      </c>
      <c r="M61" s="76" t="n">
        <f aca="false">MAX(0, 'Grilles et calculs individuels'!H10*'données complémentaires'!$D23-'plafond sécu et CNAV'!$F23)*$E23/$B23</f>
        <v>0</v>
      </c>
      <c r="N61" s="76" t="n">
        <f aca="false">MAX(0, 'Grilles et calculs individuels'!I10*'données complémentaires'!$D23-'plafond sécu et CNAV'!$F23)*$E23/$B23</f>
        <v>0</v>
      </c>
      <c r="O61" s="76" t="s">
        <v>70</v>
      </c>
    </row>
    <row r="62" customFormat="false" ht="12.8" hidden="false" customHeight="false" outlineLevel="0" collapsed="false">
      <c r="A62" s="0" t="n">
        <v>1981</v>
      </c>
      <c r="B62" s="56" t="n">
        <f aca="false">B61/(1+C61)</f>
        <v>4.70280236050081</v>
      </c>
      <c r="C62" s="4" t="n">
        <v>0.125265392781313</v>
      </c>
      <c r="D62" s="4" t="n">
        <f aca="false">0.061-'données complémentaires'!L62</f>
        <v>0.0464</v>
      </c>
      <c r="E62" s="86" t="n">
        <f aca="false">0.16344-'données complémentaires'!L62</f>
        <v>0.14884</v>
      </c>
      <c r="G62" s="54" t="n">
        <v>7</v>
      </c>
      <c r="H62" s="76" t="n">
        <f aca="false">MAX(0, 'Grilles et calculs individuels'!C11*'données complémentaires'!$D17-'plafond sécu et CNAV'!$F17)*$E17/$B17</f>
        <v>0</v>
      </c>
      <c r="I62" s="76" t="s">
        <v>70</v>
      </c>
      <c r="J62" s="76" t="s">
        <v>70</v>
      </c>
      <c r="K62" s="76" t="s">
        <v>70</v>
      </c>
      <c r="L62" s="76" t="n">
        <f aca="false">MAX(0, 'Grilles et calculs individuels'!G11*'données complémentaires'!$D24-'plafond sécu et CNAV'!$F24)*$E24/$B24</f>
        <v>0</v>
      </c>
      <c r="M62" s="76" t="n">
        <f aca="false">MAX(0, 'Grilles et calculs individuels'!H11*'données complémentaires'!$D24-'plafond sécu et CNAV'!$F24)*$E24/$B24</f>
        <v>0</v>
      </c>
      <c r="N62" s="76" t="n">
        <f aca="false">MAX(0, 'Grilles et calculs individuels'!I11*'données complémentaires'!$D24-'plafond sécu et CNAV'!$F24)*$E24/$B24</f>
        <v>0</v>
      </c>
      <c r="O62" s="76" t="s">
        <v>70</v>
      </c>
    </row>
    <row r="63" customFormat="false" ht="12.8" hidden="false" customHeight="false" outlineLevel="0" collapsed="false">
      <c r="A63" s="0" t="n">
        <v>1980</v>
      </c>
      <c r="B63" s="56" t="n">
        <f aca="false">B62/(1+C62)</f>
        <v>4.17928285244507</v>
      </c>
      <c r="C63" s="4" t="n">
        <v>0.136308805790114</v>
      </c>
      <c r="D63" s="4" t="n">
        <f aca="false">0.061-'données complémentaires'!L63</f>
        <v>0.0464</v>
      </c>
      <c r="E63" s="86" t="n">
        <f aca="false">0.16344-'données complémentaires'!L63</f>
        <v>0.14884</v>
      </c>
      <c r="G63" s="54" t="n">
        <v>8</v>
      </c>
      <c r="H63" s="76" t="n">
        <f aca="false">MAX(0, 'Grilles et calculs individuels'!C12*'données complémentaires'!$D18-'plafond sécu et CNAV'!$F18)*$E18/$B18</f>
        <v>0</v>
      </c>
      <c r="I63" s="76" t="s">
        <v>70</v>
      </c>
      <c r="J63" s="76" t="s">
        <v>70</v>
      </c>
      <c r="K63" s="76" t="s">
        <v>70</v>
      </c>
      <c r="L63" s="76" t="n">
        <f aca="false">MAX(0, 'Grilles et calculs individuels'!G12*'données complémentaires'!$D25-'plafond sécu et CNAV'!$F25)*$E25/$B25</f>
        <v>0</v>
      </c>
      <c r="M63" s="76" t="n">
        <f aca="false">MAX(0, 'Grilles et calculs individuels'!H12*'données complémentaires'!$D25-'plafond sécu et CNAV'!$F25)*$E25/$B25</f>
        <v>0</v>
      </c>
      <c r="N63" s="76" t="n">
        <f aca="false">MAX(0, 'Grilles et calculs individuels'!I12*'données complémentaires'!$D25-'plafond sécu et CNAV'!$F25)*$E25/$B25</f>
        <v>0</v>
      </c>
      <c r="O63" s="76" t="s">
        <v>70</v>
      </c>
    </row>
    <row r="64" customFormat="false" ht="12.8" hidden="false" customHeight="false" outlineLevel="0" collapsed="false">
      <c r="A64" s="0" t="n">
        <v>1979</v>
      </c>
      <c r="B64" s="56" t="n">
        <f aca="false">B63/(1+C63)</f>
        <v>3.67794637439166</v>
      </c>
      <c r="C64" s="4" t="n">
        <v>0.117250673854441</v>
      </c>
      <c r="D64" s="4" t="n">
        <f aca="false">0.061-'données complémentaires'!L64</f>
        <v>0.0564</v>
      </c>
      <c r="E64" s="86" t="n">
        <f aca="false">0.16344-'données complémentaires'!L64</f>
        <v>0.15884</v>
      </c>
      <c r="G64" s="54" t="n">
        <v>9</v>
      </c>
      <c r="H64" s="76" t="n">
        <f aca="false">MAX(0, 'Grilles et calculs individuels'!C13*'données complémentaires'!$D19-'plafond sécu et CNAV'!$F19)*$E19/$B19</f>
        <v>0</v>
      </c>
      <c r="I64" s="76" t="s">
        <v>70</v>
      </c>
      <c r="J64" s="76" t="s">
        <v>70</v>
      </c>
      <c r="K64" s="76" t="s">
        <v>70</v>
      </c>
      <c r="L64" s="76" t="n">
        <f aca="false">MAX(0, 'Grilles et calculs individuels'!G13*'données complémentaires'!$D26-'plafond sécu et CNAV'!$F26)*$E26/$B26</f>
        <v>0</v>
      </c>
      <c r="M64" s="76" t="n">
        <f aca="false">MAX(0, 'Grilles et calculs individuels'!H13*'données complémentaires'!$D26-'plafond sécu et CNAV'!$F26)*$E26/$B26</f>
        <v>0</v>
      </c>
      <c r="N64" s="76" t="n">
        <f aca="false">MAX(0, 'Grilles et calculs individuels'!I13*'données complémentaires'!$D26-'plafond sécu et CNAV'!$F26)*$E26/$B26</f>
        <v>0</v>
      </c>
      <c r="O64" s="76" t="s">
        <v>70</v>
      </c>
    </row>
    <row r="65" customFormat="false" ht="12.8" hidden="false" customHeight="false" outlineLevel="0" collapsed="false">
      <c r="A65" s="0" t="n">
        <v>1978</v>
      </c>
      <c r="B65" s="56" t="n">
        <f aca="false">B64/(1+C64)</f>
        <v>3.29196165235058</v>
      </c>
      <c r="C65" s="4" t="n">
        <v>0.100890207715134</v>
      </c>
      <c r="D65" s="4" t="n">
        <f aca="false">0.061-'données complémentaires'!L65</f>
        <v>0.0564</v>
      </c>
      <c r="E65" s="86" t="n">
        <f aca="false">0.16344-'données complémentaires'!L65</f>
        <v>0.15884</v>
      </c>
      <c r="G65" s="54" t="n">
        <v>10</v>
      </c>
      <c r="H65" s="76" t="n">
        <f aca="false">MAX(0, 'Grilles et calculs individuels'!C14*'données complémentaires'!$D20-'plafond sécu et CNAV'!$F20)*$E20/$B20</f>
        <v>0</v>
      </c>
      <c r="I65" s="76" t="s">
        <v>70</v>
      </c>
      <c r="J65" s="76" t="s">
        <v>70</v>
      </c>
      <c r="K65" s="76" t="s">
        <v>70</v>
      </c>
      <c r="L65" s="76" t="n">
        <f aca="false">MAX(0, 'Grilles et calculs individuels'!G14*'données complémentaires'!$D27-'plafond sécu et CNAV'!$F27)*$E27/$B27</f>
        <v>0</v>
      </c>
      <c r="M65" s="76" t="n">
        <f aca="false">MAX(0, 'Grilles et calculs individuels'!H14*'données complémentaires'!$D27-'plafond sécu et CNAV'!$F27)*$E27/$B27</f>
        <v>0</v>
      </c>
      <c r="N65" s="76" t="n">
        <f aca="false">MAX(0, 'Grilles et calculs individuels'!I14*'données complémentaires'!$D27-'plafond sécu et CNAV'!$F27)*$E27/$B27</f>
        <v>0</v>
      </c>
      <c r="O65" s="76" t="s">
        <v>70</v>
      </c>
    </row>
    <row r="66" customFormat="false" ht="12.8" hidden="false" customHeight="false" outlineLevel="0" collapsed="false">
      <c r="A66" s="0" t="n">
        <v>1977</v>
      </c>
      <c r="B66" s="56" t="n">
        <f aca="false">B65/(1+C65)</f>
        <v>2.99027244431845</v>
      </c>
      <c r="C66" s="4" t="n">
        <v>0.101307189542487</v>
      </c>
      <c r="D66" s="4" t="n">
        <f aca="false">0.061-'données complémentaires'!L66</f>
        <v>0.0564</v>
      </c>
      <c r="E66" s="86" t="n">
        <f aca="false">0.16344-'données complémentaires'!L66</f>
        <v>0.15884</v>
      </c>
      <c r="G66" s="54" t="n">
        <v>11</v>
      </c>
      <c r="H66" s="76" t="n">
        <f aca="false">MAX(0, 'Grilles et calculs individuels'!C15*'données complémentaires'!$D21-'plafond sécu et CNAV'!$F21)*$E21/$B21</f>
        <v>0</v>
      </c>
      <c r="I66" s="76" t="s">
        <v>70</v>
      </c>
      <c r="J66" s="76" t="s">
        <v>70</v>
      </c>
      <c r="K66" s="76" t="s">
        <v>70</v>
      </c>
      <c r="L66" s="76" t="n">
        <f aca="false">MAX(0, 'Grilles et calculs individuels'!G15*'données complémentaires'!$D28-'plafond sécu et CNAV'!$F28)*$E28/$B28</f>
        <v>0</v>
      </c>
      <c r="M66" s="76" t="n">
        <f aca="false">MAX(0, 'Grilles et calculs individuels'!H15*'données complémentaires'!$D28-'plafond sécu et CNAV'!$F28)*$E28/$B28</f>
        <v>0</v>
      </c>
      <c r="N66" s="76" t="n">
        <f aca="false">MAX(0, 'Grilles et calculs individuels'!I15*'données complémentaires'!$D28-'plafond sécu et CNAV'!$F28)*$E28/$B28</f>
        <v>0</v>
      </c>
      <c r="O66" s="76" t="s">
        <v>70</v>
      </c>
    </row>
    <row r="67" customFormat="false" ht="12.8" hidden="false" customHeight="false" outlineLevel="0" collapsed="false">
      <c r="A67" s="0" t="n">
        <v>1976</v>
      </c>
      <c r="B67" s="56" t="n">
        <f aca="false">B66/(1+C66)</f>
        <v>2.71520287228915</v>
      </c>
      <c r="C67" s="4" t="n">
        <v>0.104693140794224</v>
      </c>
      <c r="D67" s="4" t="n">
        <f aca="false">0.061-'données complémentaires'!L67</f>
        <v>0.0709</v>
      </c>
      <c r="E67" s="86" t="n">
        <f aca="false">0.16344-'données complémentaires'!L67</f>
        <v>0.17334</v>
      </c>
      <c r="G67" s="54" t="n">
        <v>12</v>
      </c>
      <c r="H67" s="76" t="n">
        <f aca="false">MAX(0, 'Grilles et calculs individuels'!C16*'données complémentaires'!$D22-'plafond sécu et CNAV'!$F22)*$E22/$B22</f>
        <v>0</v>
      </c>
      <c r="I67" s="76" t="s">
        <v>70</v>
      </c>
      <c r="J67" s="76" t="s">
        <v>70</v>
      </c>
      <c r="K67" s="76" t="s">
        <v>70</v>
      </c>
      <c r="L67" s="76" t="n">
        <f aca="false">MAX(0, 'Grilles et calculs individuels'!G16*'données complémentaires'!$D29-'plafond sécu et CNAV'!$F29)*$E29/$B29</f>
        <v>0</v>
      </c>
      <c r="M67" s="76" t="n">
        <f aca="false">MAX(0, 'Grilles et calculs individuels'!H16*'données complémentaires'!$D29-'plafond sécu et CNAV'!$F29)*$E29/$B29</f>
        <v>0</v>
      </c>
      <c r="N67" s="76" t="n">
        <f aca="false">MAX(0, 'Grilles et calculs individuels'!I16*'données complémentaires'!$D29-'plafond sécu et CNAV'!$F29)*$E29/$B29</f>
        <v>0</v>
      </c>
      <c r="O67" s="76" t="s">
        <v>70</v>
      </c>
    </row>
    <row r="68" customFormat="false" ht="12.8" hidden="false" customHeight="false" outlineLevel="0" collapsed="false">
      <c r="A68" s="0" t="n">
        <v>1975</v>
      </c>
      <c r="B68" s="56" t="n">
        <f aca="false">B67/(1+C67)</f>
        <v>2.45787972426174</v>
      </c>
      <c r="C68" s="4" t="n">
        <v>0.151767151767152</v>
      </c>
      <c r="D68" s="4" t="n">
        <f aca="false">0.061-'données complémentaires'!L68</f>
        <v>0.0709</v>
      </c>
      <c r="E68" s="86" t="n">
        <f aca="false">0.16344-'données complémentaires'!L68</f>
        <v>0.17334</v>
      </c>
      <c r="G68" s="54" t="n">
        <v>13</v>
      </c>
      <c r="H68" s="76" t="n">
        <f aca="false">MAX(0, 'Grilles et calculs individuels'!C17*'données complémentaires'!$D23-'plafond sécu et CNAV'!$F23)*$E23/$B23</f>
        <v>0</v>
      </c>
      <c r="I68" s="76" t="s">
        <v>70</v>
      </c>
      <c r="J68" s="76" t="s">
        <v>70</v>
      </c>
      <c r="K68" s="76" t="s">
        <v>70</v>
      </c>
      <c r="L68" s="76" t="n">
        <f aca="false">MAX(0, 'Grilles et calculs individuels'!G17*'données complémentaires'!$D30-'plafond sécu et CNAV'!$F30)*$E30/$B30</f>
        <v>0</v>
      </c>
      <c r="M68" s="76" t="n">
        <f aca="false">MAX(0, 'Grilles et calculs individuels'!H17*'données complémentaires'!$D30-'plafond sécu et CNAV'!$F30)*$E30/$B30</f>
        <v>0</v>
      </c>
      <c r="N68" s="76" t="n">
        <f aca="false">MAX(0, 'Grilles et calculs individuels'!I17*'données complémentaires'!$D30-'plafond sécu et CNAV'!$F30)*$E30/$B30</f>
        <v>0</v>
      </c>
      <c r="O68" s="76" t="s">
        <v>70</v>
      </c>
    </row>
    <row r="69" customFormat="false" ht="12.8" hidden="false" customHeight="false" outlineLevel="0" collapsed="false">
      <c r="A69" s="0" t="n">
        <v>1974</v>
      </c>
      <c r="B69" s="56" t="n">
        <f aca="false">B68/(1+C68)</f>
        <v>2.13400748622725</v>
      </c>
      <c r="C69" s="90" t="n">
        <v>0.1318</v>
      </c>
      <c r="D69" s="4" t="n">
        <f aca="false">0.061-'données complémentaires'!L69</f>
        <v>0.0734</v>
      </c>
      <c r="E69" s="86" t="n">
        <f aca="false">0.16344-'données complémentaires'!L69</f>
        <v>0.17584</v>
      </c>
      <c r="G69" s="54" t="n">
        <v>14</v>
      </c>
      <c r="H69" s="76" t="n">
        <f aca="false">MAX(0, 'Grilles et calculs individuels'!C18*'données complémentaires'!$D24-'plafond sécu et CNAV'!$F24)*$E24/$B24</f>
        <v>0</v>
      </c>
      <c r="I69" s="76" t="s">
        <v>70</v>
      </c>
      <c r="J69" s="76" t="s">
        <v>70</v>
      </c>
      <c r="K69" s="76" t="s">
        <v>70</v>
      </c>
      <c r="L69" s="76" t="n">
        <f aca="false">MAX(0, 'Grilles et calculs individuels'!G18*'données complémentaires'!$D31-'plafond sécu et CNAV'!$F31)*$E31/$B31</f>
        <v>0</v>
      </c>
      <c r="M69" s="76" t="n">
        <f aca="false">MAX(0, 'Grilles et calculs individuels'!H18*'données complémentaires'!$D31-'plafond sécu et CNAV'!$F31)*$E31/$B31</f>
        <v>0</v>
      </c>
      <c r="N69" s="76" t="n">
        <f aca="false">MAX(0, 'Grilles et calculs individuels'!I18*'données complémentaires'!$D31-'plafond sécu et CNAV'!$F31)*$E31/$B31</f>
        <v>0</v>
      </c>
      <c r="O69" s="76" t="s">
        <v>70</v>
      </c>
    </row>
    <row r="70" customFormat="false" ht="12.8" hidden="false" customHeight="false" outlineLevel="0" collapsed="false">
      <c r="A70" s="0" t="n">
        <v>1973</v>
      </c>
      <c r="B70" s="56" t="n">
        <f aca="false">B69/(1+C69)</f>
        <v>1.88549875086345</v>
      </c>
      <c r="C70" s="4" t="n">
        <v>0.0954</v>
      </c>
      <c r="D70" s="4" t="n">
        <f aca="false">0.061-'données complémentaires'!L70</f>
        <v>0.0738</v>
      </c>
      <c r="E70" s="86" t="n">
        <f aca="false">0.16344-'données complémentaires'!L70</f>
        <v>0.17624</v>
      </c>
      <c r="G70" s="54" t="n">
        <v>15</v>
      </c>
      <c r="H70" s="76" t="n">
        <f aca="false">MAX(0, 'Grilles et calculs individuels'!C19*'données complémentaires'!$D25-'plafond sécu et CNAV'!$F25)*$E25/$B25</f>
        <v>0</v>
      </c>
      <c r="I70" s="76" t="s">
        <v>70</v>
      </c>
      <c r="J70" s="76" t="s">
        <v>70</v>
      </c>
      <c r="K70" s="76" t="s">
        <v>70</v>
      </c>
      <c r="L70" s="76" t="n">
        <f aca="false">MAX(0, 'Grilles et calculs individuels'!G19*'données complémentaires'!$D32-'plafond sécu et CNAV'!$F32)*$E32/$B32</f>
        <v>0</v>
      </c>
      <c r="M70" s="76" t="n">
        <f aca="false">MAX(0, 'Grilles et calculs individuels'!H19*'données complémentaires'!$D32-'plafond sécu et CNAV'!$F32)*$E32/$B32</f>
        <v>0</v>
      </c>
      <c r="N70" s="76" t="n">
        <f aca="false">MAX(0, 'Grilles et calculs individuels'!I19*'données complémentaires'!$D32-'plafond sécu et CNAV'!$F32)*$E32/$B32</f>
        <v>0</v>
      </c>
      <c r="O70" s="76" t="s">
        <v>70</v>
      </c>
    </row>
    <row r="71" customFormat="false" ht="12.8" hidden="false" customHeight="false" outlineLevel="0" collapsed="false">
      <c r="A71" s="0" t="n">
        <v>1972</v>
      </c>
      <c r="B71" s="56" t="n">
        <f aca="false">B70/(1+C70)</f>
        <v>1.7212878864921</v>
      </c>
      <c r="D71" s="4" t="n">
        <f aca="false">0.061-'données complémentaires'!L71</f>
        <v>0.0742</v>
      </c>
      <c r="E71" s="86" t="n">
        <f aca="false">0.16344-'données complémentaires'!L71</f>
        <v>0.17664</v>
      </c>
      <c r="G71" s="54" t="n">
        <v>16</v>
      </c>
      <c r="H71" s="76" t="n">
        <f aca="false">MAX(0, 'Grilles et calculs individuels'!C20*'données complémentaires'!$D26-'plafond sécu et CNAV'!$F26)*$E26/$B26</f>
        <v>0</v>
      </c>
      <c r="I71" s="76" t="s">
        <v>70</v>
      </c>
      <c r="J71" s="76" t="s">
        <v>70</v>
      </c>
      <c r="K71" s="76" t="s">
        <v>70</v>
      </c>
      <c r="L71" s="76" t="n">
        <f aca="false">MAX(0, 'Grilles et calculs individuels'!G20*'données complémentaires'!$D33-'plafond sécu et CNAV'!$F33)*$E33/$B33</f>
        <v>0</v>
      </c>
      <c r="M71" s="76" t="n">
        <f aca="false">MAX(0, 'Grilles et calculs individuels'!H20*'données complémentaires'!$D33-'plafond sécu et CNAV'!$F33)*$E33/$B33</f>
        <v>0</v>
      </c>
      <c r="N71" s="76" t="n">
        <f aca="false">MAX(0, 'Grilles et calculs individuels'!I20*'données complémentaires'!$D33-'plafond sécu et CNAV'!$F33)*$E33/$B33</f>
        <v>0</v>
      </c>
      <c r="O71" s="76" t="s">
        <v>70</v>
      </c>
    </row>
    <row r="72" customFormat="false" ht="12.8" hidden="false" customHeight="false" outlineLevel="0" collapsed="false">
      <c r="A72" s="0" t="n">
        <v>1971</v>
      </c>
      <c r="B72" s="0"/>
      <c r="D72" s="4" t="n">
        <f aca="false">0.061-'données complémentaires'!L72</f>
        <v>0.0746</v>
      </c>
      <c r="E72" s="86" t="n">
        <f aca="false">0.16344-'données complémentaires'!L72</f>
        <v>0.17704</v>
      </c>
      <c r="G72" s="54" t="n">
        <v>17</v>
      </c>
      <c r="H72" s="76" t="n">
        <f aca="false">MAX(0, 'Grilles et calculs individuels'!C21*'données complémentaires'!$D27-'plafond sécu et CNAV'!$F27)*$E27/$B27</f>
        <v>0</v>
      </c>
      <c r="I72" s="76" t="s">
        <v>70</v>
      </c>
      <c r="J72" s="76" t="s">
        <v>70</v>
      </c>
      <c r="K72" s="76" t="s">
        <v>70</v>
      </c>
      <c r="L72" s="76" t="n">
        <f aca="false">MAX(0, 'Grilles et calculs individuels'!G21*'données complémentaires'!$D34-'plafond sécu et CNAV'!$F34)*$E34/$B34</f>
        <v>0</v>
      </c>
      <c r="M72" s="76" t="n">
        <f aca="false">MAX(0, 'Grilles et calculs individuels'!H21*'données complémentaires'!$D34-'plafond sécu et CNAV'!$F34)*$E34/$B34</f>
        <v>0</v>
      </c>
      <c r="N72" s="76" t="n">
        <f aca="false">MAX(0, 'Grilles et calculs individuels'!I21*'données complémentaires'!$D34-'plafond sécu et CNAV'!$F34)*$E34/$B34</f>
        <v>0</v>
      </c>
      <c r="O72" s="76" t="s">
        <v>70</v>
      </c>
    </row>
    <row r="73" customFormat="false" ht="12.8" hidden="false" customHeight="false" outlineLevel="0" collapsed="false">
      <c r="A73" s="0" t="n">
        <v>1970</v>
      </c>
      <c r="B73" s="0"/>
      <c r="D73" s="4" t="n">
        <f aca="false">0.061-'données complémentaires'!L73</f>
        <v>0.075</v>
      </c>
      <c r="E73" s="86" t="n">
        <f aca="false">0.16344-'données complémentaires'!L73</f>
        <v>0.17744</v>
      </c>
      <c r="G73" s="54" t="n">
        <v>18</v>
      </c>
      <c r="H73" s="76" t="n">
        <f aca="false">MAX(0, 'Grilles et calculs individuels'!C22*'données complémentaires'!$D28-'plafond sécu et CNAV'!$F28)*$E28/$B28</f>
        <v>0</v>
      </c>
      <c r="I73" s="76" t="s">
        <v>70</v>
      </c>
      <c r="J73" s="76" t="s">
        <v>70</v>
      </c>
      <c r="K73" s="76" t="s">
        <v>70</v>
      </c>
      <c r="L73" s="76" t="n">
        <f aca="false">MAX(0, 'Grilles et calculs individuels'!G22*'données complémentaires'!$D35-'plafond sécu et CNAV'!$F35)*$E35/$B35</f>
        <v>0</v>
      </c>
      <c r="M73" s="76" t="n">
        <f aca="false">MAX(0, 'Grilles et calculs individuels'!H22*'données complémentaires'!$D35-'plafond sécu et CNAV'!$F35)*$E35/$B35</f>
        <v>0</v>
      </c>
      <c r="N73" s="76" t="n">
        <f aca="false">MAX(0, 'Grilles et calculs individuels'!I22*'données complémentaires'!$D35-'plafond sécu et CNAV'!$F35)*$E35/$B35</f>
        <v>0</v>
      </c>
      <c r="O73" s="76" t="s">
        <v>70</v>
      </c>
    </row>
    <row r="74" customFormat="false" ht="12.8" hidden="false" customHeight="false" outlineLevel="0" collapsed="false">
      <c r="B74" s="0"/>
      <c r="G74" s="54" t="n">
        <v>19</v>
      </c>
      <c r="H74" s="76" t="n">
        <f aca="false">MAX(0, 'Grilles et calculs individuels'!C23*'données complémentaires'!$D29-'plafond sécu et CNAV'!$F29)*$E29/$B29</f>
        <v>0</v>
      </c>
      <c r="I74" s="76" t="s">
        <v>70</v>
      </c>
      <c r="J74" s="76" t="s">
        <v>70</v>
      </c>
      <c r="K74" s="76" t="s">
        <v>70</v>
      </c>
      <c r="L74" s="76" t="n">
        <f aca="false">MAX(0, 'Grilles et calculs individuels'!G23*'données complémentaires'!$D36-'plafond sécu et CNAV'!$F36)*$E36/$B36</f>
        <v>0</v>
      </c>
      <c r="M74" s="76" t="n">
        <f aca="false">MAX(0, 'Grilles et calculs individuels'!H23*'données complémentaires'!$D36-'plafond sécu et CNAV'!$F36)*$E36/$B36</f>
        <v>0</v>
      </c>
      <c r="N74" s="76" t="n">
        <f aca="false">MAX(0, 'Grilles et calculs individuels'!I23*'données complémentaires'!$D36-'plafond sécu et CNAV'!$F36)*$E36/$B36</f>
        <v>0</v>
      </c>
      <c r="O74" s="76" t="s">
        <v>70</v>
      </c>
    </row>
    <row r="75" customFormat="false" ht="12.8" hidden="false" customHeight="false" outlineLevel="0" collapsed="false">
      <c r="G75" s="54" t="n">
        <v>20</v>
      </c>
      <c r="H75" s="76" t="n">
        <f aca="false">MAX(0, 'Grilles et calculs individuels'!C24*'données complémentaires'!$D30-'plafond sécu et CNAV'!$F30)*$E30/$B30</f>
        <v>0</v>
      </c>
      <c r="I75" s="76" t="s">
        <v>70</v>
      </c>
      <c r="J75" s="76" t="s">
        <v>70</v>
      </c>
      <c r="K75" s="76" t="s">
        <v>70</v>
      </c>
      <c r="L75" s="76" t="n">
        <f aca="false">MAX(0, 'Grilles et calculs individuels'!G24*'données complémentaires'!$D37-'plafond sécu et CNAV'!$F37)*$E37/$B37</f>
        <v>0</v>
      </c>
      <c r="M75" s="76" t="n">
        <f aca="false">MAX(0, 'Grilles et calculs individuels'!H24*'données complémentaires'!$D37-'plafond sécu et CNAV'!$F37)*$E37/$B37</f>
        <v>0</v>
      </c>
      <c r="N75" s="76" t="n">
        <f aca="false">MAX(0, 'Grilles et calculs individuels'!I24*'données complémentaires'!$D37-'plafond sécu et CNAV'!$F37)*$E37/$B37</f>
        <v>0</v>
      </c>
      <c r="O75" s="76" t="s">
        <v>70</v>
      </c>
    </row>
    <row r="76" customFormat="false" ht="12.8" hidden="false" customHeight="false" outlineLevel="0" collapsed="false">
      <c r="G76" s="54" t="n">
        <v>21</v>
      </c>
      <c r="H76" s="76" t="n">
        <f aca="false">MAX(0, 'Grilles et calculs individuels'!C25*'données complémentaires'!$D31-'plafond sécu et CNAV'!$F31)*$E31/$B31</f>
        <v>0</v>
      </c>
      <c r="I76" s="76" t="s">
        <v>70</v>
      </c>
      <c r="J76" s="76" t="s">
        <v>70</v>
      </c>
      <c r="K76" s="76" t="s">
        <v>70</v>
      </c>
      <c r="L76" s="76" t="n">
        <f aca="false">MAX(0, 'Grilles et calculs individuels'!G25*'données complémentaires'!$D38-'plafond sécu et CNAV'!$F38)*$E38/$B38</f>
        <v>0</v>
      </c>
      <c r="M76" s="76" t="n">
        <f aca="false">MAX(0, 'Grilles et calculs individuels'!H25*'données complémentaires'!$D38-'plafond sécu et CNAV'!$F38)*$E38/$B38</f>
        <v>0</v>
      </c>
      <c r="N76" s="76" t="n">
        <f aca="false">MAX(0, 'Grilles et calculs individuels'!I25*'données complémentaires'!$D38-'plafond sécu et CNAV'!$F38)*$E38/$B38</f>
        <v>0</v>
      </c>
      <c r="O76" s="76" t="s">
        <v>70</v>
      </c>
    </row>
    <row r="77" customFormat="false" ht="12.8" hidden="false" customHeight="false" outlineLevel="0" collapsed="false">
      <c r="G77" s="54" t="n">
        <v>22</v>
      </c>
      <c r="H77" s="76" t="n">
        <f aca="false">MAX(0, 'Grilles et calculs individuels'!C26*'données complémentaires'!$D32-'plafond sécu et CNAV'!$F32)*$E32/$B32</f>
        <v>0</v>
      </c>
      <c r="I77" s="76" t="s">
        <v>70</v>
      </c>
      <c r="J77" s="76" t="s">
        <v>70</v>
      </c>
      <c r="K77" s="76" t="s">
        <v>70</v>
      </c>
      <c r="L77" s="76" t="n">
        <f aca="false">MAX(0, 'Grilles et calculs individuels'!G26*'données complémentaires'!$D39-'plafond sécu et CNAV'!$F39)*$E39/$B39</f>
        <v>0</v>
      </c>
      <c r="M77" s="76" t="n">
        <f aca="false">MAX(0, 'Grilles et calculs individuels'!H26*'données complémentaires'!$D39-'plafond sécu et CNAV'!$F39)*$E39/$B39</f>
        <v>0</v>
      </c>
      <c r="N77" s="76" t="n">
        <f aca="false">MAX(0, 'Grilles et calculs individuels'!I26*'données complémentaires'!$D39-'plafond sécu et CNAV'!$F39)*$E39/$B39</f>
        <v>0</v>
      </c>
      <c r="O77" s="76" t="s">
        <v>70</v>
      </c>
    </row>
    <row r="78" customFormat="false" ht="12.8" hidden="false" customHeight="false" outlineLevel="0" collapsed="false">
      <c r="G78" s="54" t="n">
        <v>23</v>
      </c>
      <c r="H78" s="76" t="n">
        <f aca="false">MAX(0, 'Grilles et calculs individuels'!C27*'données complémentaires'!$D33-'plafond sécu et CNAV'!$F33)*$E33/$B33</f>
        <v>0</v>
      </c>
      <c r="I78" s="76" t="s">
        <v>70</v>
      </c>
      <c r="J78" s="76" t="s">
        <v>70</v>
      </c>
      <c r="K78" s="76" t="s">
        <v>70</v>
      </c>
      <c r="L78" s="76" t="n">
        <f aca="false">MAX(0, 'Grilles et calculs individuels'!G27*'données complémentaires'!$D40-'plafond sécu et CNAV'!$F40)*$E40/$B40</f>
        <v>0</v>
      </c>
      <c r="M78" s="76" t="n">
        <f aca="false">MAX(0, 'Grilles et calculs individuels'!H27*'données complémentaires'!$D40-'plafond sécu et CNAV'!$F40)*$E40/$B40</f>
        <v>0</v>
      </c>
      <c r="N78" s="76" t="n">
        <f aca="false">MAX(0, 'Grilles et calculs individuels'!I27*'données complémentaires'!$D40-'plafond sécu et CNAV'!$F40)*$E40/$B40</f>
        <v>0</v>
      </c>
      <c r="O78" s="76" t="s">
        <v>70</v>
      </c>
    </row>
    <row r="79" customFormat="false" ht="12.8" hidden="false" customHeight="false" outlineLevel="0" collapsed="false">
      <c r="G79" s="54" t="n">
        <v>24</v>
      </c>
      <c r="H79" s="76" t="n">
        <f aca="false">MAX(0, 'Grilles et calculs individuels'!C28*'données complémentaires'!$D34-'plafond sécu et CNAV'!$F34)*$E34/$B34</f>
        <v>0</v>
      </c>
      <c r="I79" s="76" t="s">
        <v>70</v>
      </c>
      <c r="J79" s="76" t="s">
        <v>70</v>
      </c>
      <c r="K79" s="76" t="s">
        <v>70</v>
      </c>
      <c r="L79" s="76" t="n">
        <f aca="false">MAX(0, 'Grilles et calculs individuels'!G28*'données complémentaires'!$D41-'plafond sécu et CNAV'!$F41)*$E41/$B41</f>
        <v>0</v>
      </c>
      <c r="M79" s="76" t="n">
        <f aca="false">MAX(0, 'Grilles et calculs individuels'!H28*'données complémentaires'!$D41-'plafond sécu et CNAV'!$F41)*$E41/$B41</f>
        <v>0</v>
      </c>
      <c r="N79" s="76" t="n">
        <f aca="false">MAX(0, 'Grilles et calculs individuels'!I28*'données complémentaires'!$D41-'plafond sécu et CNAV'!$F41)*$E41/$B41</f>
        <v>0</v>
      </c>
      <c r="O79" s="76" t="s">
        <v>70</v>
      </c>
    </row>
    <row r="80" customFormat="false" ht="12.8" hidden="false" customHeight="false" outlineLevel="0" collapsed="false">
      <c r="G80" s="54" t="n">
        <v>25</v>
      </c>
      <c r="H80" s="76" t="n">
        <f aca="false">MAX(0, 'Grilles et calculs individuels'!C29*'données complémentaires'!$D35-'plafond sécu et CNAV'!$F35)*$E35/$B35</f>
        <v>0</v>
      </c>
      <c r="I80" s="76" t="s">
        <v>70</v>
      </c>
      <c r="J80" s="76" t="s">
        <v>70</v>
      </c>
      <c r="K80" s="76" t="s">
        <v>70</v>
      </c>
      <c r="L80" s="76" t="n">
        <f aca="false">MAX(0, 'Grilles et calculs individuels'!G29*'données complémentaires'!$D42-'plafond sécu et CNAV'!$F42)*$E42/$B42</f>
        <v>0</v>
      </c>
      <c r="M80" s="76" t="n">
        <f aca="false">MAX(0, 'Grilles et calculs individuels'!H29*'données complémentaires'!$D42-'plafond sécu et CNAV'!$F42)*$E42/$B42</f>
        <v>0</v>
      </c>
      <c r="N80" s="76" t="n">
        <f aca="false">MAX(0, 'Grilles et calculs individuels'!I29*'données complémentaires'!$D42-'plafond sécu et CNAV'!$F42)*$E42/$B42</f>
        <v>0</v>
      </c>
      <c r="O80" s="76" t="s">
        <v>70</v>
      </c>
    </row>
    <row r="81" customFormat="false" ht="12.8" hidden="false" customHeight="false" outlineLevel="0" collapsed="false">
      <c r="G81" s="54" t="n">
        <v>26</v>
      </c>
      <c r="H81" s="76" t="n">
        <f aca="false">MAX(0, 'Grilles et calculs individuels'!C30*'données complémentaires'!$D36-'plafond sécu et CNAV'!$F36)*$E36/$B36</f>
        <v>0</v>
      </c>
      <c r="I81" s="76" t="s">
        <v>70</v>
      </c>
      <c r="J81" s="76" t="s">
        <v>70</v>
      </c>
      <c r="K81" s="76" t="s">
        <v>70</v>
      </c>
      <c r="L81" s="76" t="n">
        <f aca="false">MAX(0, 'Grilles et calculs individuels'!G30*'données complémentaires'!$D43-'plafond sécu et CNAV'!$F43)*$E43/$B43</f>
        <v>0</v>
      </c>
      <c r="M81" s="76" t="n">
        <f aca="false">MAX(0, 'Grilles et calculs individuels'!H30*'données complémentaires'!$D43-'plafond sécu et CNAV'!$F43)*$E43/$B43</f>
        <v>0</v>
      </c>
      <c r="N81" s="76" t="n">
        <f aca="false">MAX(0, 'Grilles et calculs individuels'!I30*'données complémentaires'!$D43-'plafond sécu et CNAV'!$F43)*$E43/$B43</f>
        <v>0</v>
      </c>
      <c r="O81" s="76" t="s">
        <v>70</v>
      </c>
    </row>
    <row r="82" customFormat="false" ht="12.8" hidden="false" customHeight="false" outlineLevel="0" collapsed="false">
      <c r="G82" s="54" t="n">
        <v>27</v>
      </c>
      <c r="H82" s="76" t="n">
        <f aca="false">MAX(0, 'Grilles et calculs individuels'!C31*'données complémentaires'!$D37-'plafond sécu et CNAV'!$F37)*$E37/$B37</f>
        <v>0</v>
      </c>
      <c r="I82" s="76" t="s">
        <v>70</v>
      </c>
      <c r="J82" s="76" t="s">
        <v>70</v>
      </c>
      <c r="K82" s="76" t="s">
        <v>70</v>
      </c>
      <c r="L82" s="76" t="n">
        <f aca="false">MAX(0, 'Grilles et calculs individuels'!G31*'données complémentaires'!$D44-'plafond sécu et CNAV'!$F44)*$E44/$B44</f>
        <v>0</v>
      </c>
      <c r="M82" s="76" t="n">
        <f aca="false">MAX(0, 'Grilles et calculs individuels'!H31*'données complémentaires'!$D44-'plafond sécu et CNAV'!$F44)*$E44/$B44</f>
        <v>0</v>
      </c>
      <c r="N82" s="76" t="n">
        <f aca="false">MAX(0, 'Grilles et calculs individuels'!I31*'données complémentaires'!$D44-'plafond sécu et CNAV'!$F44)*$E44/$B44</f>
        <v>0</v>
      </c>
      <c r="O82" s="76" t="s">
        <v>70</v>
      </c>
    </row>
    <row r="83" customFormat="false" ht="12.8" hidden="false" customHeight="false" outlineLevel="0" collapsed="false">
      <c r="G83" s="54" t="n">
        <v>28</v>
      </c>
      <c r="H83" s="76" t="n">
        <f aca="false">MAX(0, 'Grilles et calculs individuels'!C32*'données complémentaires'!$D38-'plafond sécu et CNAV'!$F38)*$E38/$B38</f>
        <v>0</v>
      </c>
      <c r="I83" s="76" t="s">
        <v>70</v>
      </c>
      <c r="J83" s="76" t="s">
        <v>70</v>
      </c>
      <c r="K83" s="76" t="s">
        <v>70</v>
      </c>
      <c r="L83" s="76" t="n">
        <f aca="false">MAX(0, 'Grilles et calculs individuels'!G32*'données complémentaires'!$D45-'plafond sécu et CNAV'!$F45)*$E45/$B45</f>
        <v>0</v>
      </c>
      <c r="M83" s="76" t="n">
        <f aca="false">MAX(0, 'Grilles et calculs individuels'!H32*'données complémentaires'!$D45-'plafond sécu et CNAV'!$F45)*$E45/$B45</f>
        <v>0</v>
      </c>
      <c r="N83" s="76" t="n">
        <f aca="false">MAX(0, 'Grilles et calculs individuels'!I32*'données complémentaires'!$D45-'plafond sécu et CNAV'!$F45)*$E45/$B45</f>
        <v>0</v>
      </c>
      <c r="O83" s="76" t="s">
        <v>70</v>
      </c>
    </row>
    <row r="84" customFormat="false" ht="12.8" hidden="false" customHeight="false" outlineLevel="0" collapsed="false">
      <c r="G84" s="54" t="n">
        <v>29</v>
      </c>
      <c r="H84" s="76" t="n">
        <f aca="false">MAX(0, 'Grilles et calculs individuels'!C33*'données complémentaires'!$D39-'plafond sécu et CNAV'!$F39)*$E39/$B39</f>
        <v>0</v>
      </c>
      <c r="I84" s="76" t="s">
        <v>70</v>
      </c>
      <c r="J84" s="76" t="s">
        <v>70</v>
      </c>
      <c r="K84" s="76" t="s">
        <v>70</v>
      </c>
      <c r="L84" s="76" t="n">
        <f aca="false">MAX(0, 'Grilles et calculs individuels'!G33*'données complémentaires'!$D46-'plafond sécu et CNAV'!$F46)*$E46/$B46</f>
        <v>0</v>
      </c>
      <c r="M84" s="76" t="n">
        <f aca="false">MAX(0, 'Grilles et calculs individuels'!H33*'données complémentaires'!$D46-'plafond sécu et CNAV'!$F46)*$E46/$B46</f>
        <v>0</v>
      </c>
      <c r="N84" s="76" t="n">
        <f aca="false">MAX(0, 'Grilles et calculs individuels'!I33*'données complémentaires'!$D46-'plafond sécu et CNAV'!$F46)*$E46/$B46</f>
        <v>0</v>
      </c>
      <c r="O84" s="76" t="s">
        <v>70</v>
      </c>
    </row>
    <row r="85" customFormat="false" ht="12.8" hidden="false" customHeight="false" outlineLevel="0" collapsed="false">
      <c r="G85" s="54" t="n">
        <v>30</v>
      </c>
      <c r="H85" s="76" t="n">
        <f aca="false">MAX(0, 'Grilles et calculs individuels'!C34*'données complémentaires'!$D40-'plafond sécu et CNAV'!$F40)*$E40/$B40</f>
        <v>0</v>
      </c>
      <c r="I85" s="76" t="s">
        <v>70</v>
      </c>
      <c r="J85" s="76" t="s">
        <v>70</v>
      </c>
      <c r="K85" s="76" t="s">
        <v>70</v>
      </c>
      <c r="L85" s="76" t="n">
        <f aca="false">MAX(0, 'Grilles et calculs individuels'!G34*'données complémentaires'!$D47-'plafond sécu et CNAV'!$F47)*$E47/$B47</f>
        <v>0</v>
      </c>
      <c r="M85" s="76" t="n">
        <f aca="false">MAX(0, 'Grilles et calculs individuels'!H34*'données complémentaires'!$D47-'plafond sécu et CNAV'!$F47)*$E47/$B47</f>
        <v>0</v>
      </c>
      <c r="N85" s="76" t="n">
        <f aca="false">MAX(0, 'Grilles et calculs individuels'!I34*'données complémentaires'!$D47-'plafond sécu et CNAV'!$F47)*$E47/$B47</f>
        <v>0</v>
      </c>
      <c r="O85" s="76" t="s">
        <v>70</v>
      </c>
    </row>
    <row r="86" customFormat="false" ht="12.8" hidden="false" customHeight="false" outlineLevel="0" collapsed="false">
      <c r="G86" s="54" t="n">
        <v>31</v>
      </c>
      <c r="H86" s="76" t="n">
        <f aca="false">MAX(0, 'Grilles et calculs individuels'!C35*'données complémentaires'!$D41-'plafond sécu et CNAV'!$F41)*$E41/$B41</f>
        <v>0</v>
      </c>
      <c r="I86" s="76" t="s">
        <v>70</v>
      </c>
      <c r="J86" s="76" t="s">
        <v>70</v>
      </c>
      <c r="K86" s="76" t="s">
        <v>70</v>
      </c>
      <c r="L86" s="76" t="n">
        <f aca="false">MAX(0, 'Grilles et calculs individuels'!G35*'données complémentaires'!$D48-'plafond sécu et CNAV'!$F48)*$E48/$B48</f>
        <v>0</v>
      </c>
      <c r="M86" s="76" t="n">
        <f aca="false">MAX(0, 'Grilles et calculs individuels'!H35*'données complémentaires'!$D48-'plafond sécu et CNAV'!$F48)*$E48/$B48</f>
        <v>0</v>
      </c>
      <c r="N86" s="76" t="n">
        <f aca="false">MAX(0, 'Grilles et calculs individuels'!I35*'données complémentaires'!$D48-'plafond sécu et CNAV'!$F48)*$E48/$B48</f>
        <v>0</v>
      </c>
      <c r="O86" s="76" t="s">
        <v>70</v>
      </c>
    </row>
    <row r="87" customFormat="false" ht="12.8" hidden="false" customHeight="false" outlineLevel="0" collapsed="false">
      <c r="G87" s="54" t="n">
        <v>32</v>
      </c>
      <c r="H87" s="76" t="n">
        <f aca="false">MAX(0, 'Grilles et calculs individuels'!C36*'données complémentaires'!$D42-'plafond sécu et CNAV'!$F42)*$E42/$B42</f>
        <v>0</v>
      </c>
      <c r="I87" s="76" t="s">
        <v>70</v>
      </c>
      <c r="J87" s="76" t="s">
        <v>70</v>
      </c>
      <c r="K87" s="76" t="s">
        <v>70</v>
      </c>
      <c r="L87" s="76" t="n">
        <f aca="false">MAX(0, 'Grilles et calculs individuels'!G36*'données complémentaires'!$D49-'plafond sécu et CNAV'!$F49)*$E49/$B49</f>
        <v>0</v>
      </c>
      <c r="M87" s="76" t="n">
        <f aca="false">MAX(0, 'Grilles et calculs individuels'!H36*'données complémentaires'!$D49-'plafond sécu et CNAV'!$F49)*$E49/$B49</f>
        <v>0</v>
      </c>
      <c r="N87" s="76" t="n">
        <f aca="false">MAX(0, 'Grilles et calculs individuels'!I36*'données complémentaires'!$D49-'plafond sécu et CNAV'!$F49)*$E49/$B49</f>
        <v>0</v>
      </c>
      <c r="O87" s="76" t="s">
        <v>70</v>
      </c>
    </row>
    <row r="88" customFormat="false" ht="12.8" hidden="false" customHeight="false" outlineLevel="0" collapsed="false">
      <c r="G88" s="54" t="n">
        <v>33</v>
      </c>
      <c r="H88" s="76" t="n">
        <f aca="false">MAX(0, 'Grilles et calculs individuels'!C37*'données complémentaires'!$D43-'plafond sécu et CNAV'!$F43)*$E43/$B43</f>
        <v>0</v>
      </c>
      <c r="I88" s="76" t="s">
        <v>70</v>
      </c>
      <c r="J88" s="76" t="s">
        <v>70</v>
      </c>
      <c r="K88" s="76" t="s">
        <v>70</v>
      </c>
      <c r="L88" s="76" t="n">
        <f aca="false">MAX(0, 'Grilles et calculs individuels'!G37*'données complémentaires'!$D50-'plafond sécu et CNAV'!$F50)*$E50/$B50</f>
        <v>0</v>
      </c>
      <c r="M88" s="76" t="n">
        <f aca="false">MAX(0, 'Grilles et calculs individuels'!H37*'données complémentaires'!$D50-'plafond sécu et CNAV'!$F50)*$E50/$B50</f>
        <v>0</v>
      </c>
      <c r="N88" s="76" t="n">
        <f aca="false">MAX(0, 'Grilles et calculs individuels'!I37*'données complémentaires'!$D50-'plafond sécu et CNAV'!$F50)*$E50/$B50</f>
        <v>0</v>
      </c>
      <c r="O88" s="76" t="s">
        <v>70</v>
      </c>
    </row>
    <row r="89" customFormat="false" ht="12.8" hidden="false" customHeight="false" outlineLevel="0" collapsed="false">
      <c r="G89" s="54" t="n">
        <v>34</v>
      </c>
      <c r="H89" s="76" t="n">
        <f aca="false">MAX(0, 'Grilles et calculs individuels'!C38*'données complémentaires'!$D44-'plafond sécu et CNAV'!$F44)*$E44/$B44</f>
        <v>0</v>
      </c>
      <c r="I89" s="76" t="s">
        <v>70</v>
      </c>
      <c r="J89" s="76" t="s">
        <v>70</v>
      </c>
      <c r="K89" s="76" t="s">
        <v>70</v>
      </c>
      <c r="L89" s="76" t="n">
        <f aca="false">MAX(0, 'Grilles et calculs individuels'!G38*'données complémentaires'!$D51-'plafond sécu et CNAV'!$F51)*$E51/$B51</f>
        <v>0</v>
      </c>
      <c r="M89" s="76" t="n">
        <f aca="false">MAX(0, 'Grilles et calculs individuels'!H38*'données complémentaires'!$D51-'plafond sécu et CNAV'!$F51)*$E51/$B51</f>
        <v>0</v>
      </c>
      <c r="N89" s="76" t="n">
        <f aca="false">MAX(0, 'Grilles et calculs individuels'!I38*'données complémentaires'!$D51-'plafond sécu et CNAV'!$F51)*$E51/$B51</f>
        <v>0</v>
      </c>
      <c r="O89" s="76" t="s">
        <v>70</v>
      </c>
    </row>
    <row r="90" customFormat="false" ht="12.8" hidden="false" customHeight="false" outlineLevel="0" collapsed="false">
      <c r="G90" s="54" t="n">
        <v>35</v>
      </c>
      <c r="H90" s="76" t="n">
        <f aca="false">MAX(0, 'Grilles et calculs individuels'!C39*'données complémentaires'!$D45-'plafond sécu et CNAV'!$F45)*$E45/$B45</f>
        <v>0</v>
      </c>
      <c r="I90" s="76" t="s">
        <v>70</v>
      </c>
      <c r="J90" s="76" t="s">
        <v>70</v>
      </c>
      <c r="K90" s="76" t="s">
        <v>70</v>
      </c>
      <c r="L90" s="76" t="n">
        <f aca="false">MAX(0, 'Grilles et calculs individuels'!G39*'données complémentaires'!$D52-'plafond sécu et CNAV'!$F52)*$E52/$B52</f>
        <v>0</v>
      </c>
      <c r="M90" s="76" t="n">
        <f aca="false">MAX(0, 'Grilles et calculs individuels'!H39*'données complémentaires'!$D52-'plafond sécu et CNAV'!$F52)*$E52/$B52</f>
        <v>0</v>
      </c>
      <c r="N90" s="76" t="n">
        <f aca="false">MAX(0, 'Grilles et calculs individuels'!I39*'données complémentaires'!$D52-'plafond sécu et CNAV'!$F52)*$E52/$B52</f>
        <v>0</v>
      </c>
      <c r="O90" s="76" t="s">
        <v>70</v>
      </c>
    </row>
    <row r="91" customFormat="false" ht="12.8" hidden="false" customHeight="false" outlineLevel="0" collapsed="false">
      <c r="G91" s="54" t="n">
        <v>36</v>
      </c>
      <c r="H91" s="76" t="n">
        <f aca="false">MAX(0, 'Grilles et calculs individuels'!C40*'données complémentaires'!$D46-'plafond sécu et CNAV'!$F46)*$E46/$B46</f>
        <v>0</v>
      </c>
      <c r="I91" s="76" t="s">
        <v>70</v>
      </c>
      <c r="J91" s="76" t="s">
        <v>70</v>
      </c>
      <c r="K91" s="76" t="s">
        <v>70</v>
      </c>
      <c r="L91" s="76" t="n">
        <f aca="false">MAX(0, 'Grilles et calculs individuels'!G40*'données complémentaires'!$D53-'plafond sécu et CNAV'!$F53)*$E53/$B53</f>
        <v>0</v>
      </c>
      <c r="M91" s="76" t="n">
        <f aca="false">MAX(0, 'Grilles et calculs individuels'!H40*'données complémentaires'!$D53-'plafond sécu et CNAV'!$F53)*$E53/$B53</f>
        <v>0</v>
      </c>
      <c r="N91" s="76" t="n">
        <f aca="false">MAX(0, 'Grilles et calculs individuels'!I40*'données complémentaires'!$D53-'plafond sécu et CNAV'!$F53)*$E53/$B53</f>
        <v>0</v>
      </c>
      <c r="O91" s="76" t="s">
        <v>70</v>
      </c>
    </row>
    <row r="92" customFormat="false" ht="12.8" hidden="false" customHeight="false" outlineLevel="0" collapsed="false">
      <c r="G92" s="54" t="n">
        <v>37</v>
      </c>
      <c r="H92" s="76" t="n">
        <f aca="false">MAX(0, 'Grilles et calculs individuels'!C41*'données complémentaires'!$D47-'plafond sécu et CNAV'!$F47)*$E47/$B47</f>
        <v>0</v>
      </c>
      <c r="I92" s="76" t="s">
        <v>70</v>
      </c>
      <c r="J92" s="76" t="s">
        <v>70</v>
      </c>
      <c r="K92" s="76" t="s">
        <v>70</v>
      </c>
      <c r="L92" s="76" t="n">
        <f aca="false">MAX(0, 'Grilles et calculs individuels'!G41*'données complémentaires'!$D54-'plafond sécu et CNAV'!$F54)*$E54/$B54</f>
        <v>0</v>
      </c>
      <c r="M92" s="76" t="n">
        <f aca="false">MAX(0, 'Grilles et calculs individuels'!H41*'données complémentaires'!$D54-'plafond sécu et CNAV'!$F54)*$E54/$B54</f>
        <v>0</v>
      </c>
      <c r="N92" s="76" t="n">
        <f aca="false">MAX(0, 'Grilles et calculs individuels'!I41*'données complémentaires'!$D54-'plafond sécu et CNAV'!$F54)*$E54/$B54</f>
        <v>0</v>
      </c>
      <c r="O92" s="76" t="s">
        <v>70</v>
      </c>
    </row>
    <row r="93" customFormat="false" ht="12.8" hidden="false" customHeight="false" outlineLevel="0" collapsed="false">
      <c r="G93" s="54" t="n">
        <v>38</v>
      </c>
      <c r="H93" s="76" t="n">
        <f aca="false">MAX(0, 'Grilles et calculs individuels'!C42*'données complémentaires'!$D48-'plafond sécu et CNAV'!$F48)*$E48/$B48</f>
        <v>0</v>
      </c>
      <c r="I93" s="76" t="s">
        <v>70</v>
      </c>
      <c r="J93" s="76" t="s">
        <v>70</v>
      </c>
      <c r="K93" s="76" t="s">
        <v>70</v>
      </c>
      <c r="L93" s="76" t="n">
        <f aca="false">MAX(0, 'Grilles et calculs individuels'!G42*'données complémentaires'!$D55-'plafond sécu et CNAV'!$F55)*$E55/$B55</f>
        <v>0</v>
      </c>
      <c r="M93" s="76" t="n">
        <f aca="false">MAX(0, 'Grilles et calculs individuels'!H42*'données complémentaires'!$D55-'plafond sécu et CNAV'!$F55)*$E55/$B55</f>
        <v>0</v>
      </c>
      <c r="N93" s="76" t="n">
        <f aca="false">MAX(0, 'Grilles et calculs individuels'!I42*'données complémentaires'!$D55-'plafond sécu et CNAV'!$F55)*$E55/$B55</f>
        <v>0</v>
      </c>
      <c r="O93" s="76" t="s">
        <v>70</v>
      </c>
    </row>
    <row r="94" customFormat="false" ht="12.8" hidden="false" customHeight="false" outlineLevel="0" collapsed="false">
      <c r="G94" s="54" t="n">
        <v>39</v>
      </c>
      <c r="H94" s="76" t="n">
        <f aca="false">MAX(0, 'Grilles et calculs individuels'!C43*'données complémentaires'!$D49-'plafond sécu et CNAV'!$F49)*$E49/$B49</f>
        <v>0</v>
      </c>
      <c r="I94" s="76" t="s">
        <v>70</v>
      </c>
      <c r="J94" s="76" t="s">
        <v>70</v>
      </c>
      <c r="K94" s="76" t="s">
        <v>70</v>
      </c>
      <c r="L94" s="76" t="n">
        <f aca="false">MAX(0, 'Grilles et calculs individuels'!G43*'données complémentaires'!$D56-'plafond sécu et CNAV'!$F56)*$E56/$B56</f>
        <v>0</v>
      </c>
      <c r="M94" s="76" t="n">
        <f aca="false">MAX(0, 'Grilles et calculs individuels'!H43*'données complémentaires'!$D56-'plafond sécu et CNAV'!$F56)*$E56/$B56</f>
        <v>0</v>
      </c>
      <c r="N94" s="76" t="n">
        <f aca="false">MAX(0, 'Grilles et calculs individuels'!I43*'données complémentaires'!$D56-'plafond sécu et CNAV'!$F56)*$E56/$B56</f>
        <v>0</v>
      </c>
      <c r="O94" s="76" t="s">
        <v>70</v>
      </c>
    </row>
    <row r="95" customFormat="false" ht="12.8" hidden="false" customHeight="false" outlineLevel="0" collapsed="false">
      <c r="G95" s="54" t="n">
        <v>40</v>
      </c>
      <c r="H95" s="76" t="n">
        <f aca="false">MAX(0, 'Grilles et calculs individuels'!C44*'données complémentaires'!$D50-'plafond sécu et CNAV'!$F50)*$E50/$B50</f>
        <v>0</v>
      </c>
      <c r="I95" s="76" t="s">
        <v>70</v>
      </c>
      <c r="J95" s="76" t="s">
        <v>70</v>
      </c>
      <c r="K95" s="76" t="s">
        <v>70</v>
      </c>
      <c r="L95" s="76" t="n">
        <f aca="false">MAX(0, 'Grilles et calculs individuels'!G44*'données complémentaires'!$D57-'plafond sécu et CNAV'!$F57)*$E57/$B57</f>
        <v>0</v>
      </c>
      <c r="M95" s="76" t="n">
        <f aca="false">MAX(0, 'Grilles et calculs individuels'!H44*'données complémentaires'!$D57-'plafond sécu et CNAV'!$F57)*$E57/$B57</f>
        <v>0</v>
      </c>
      <c r="N95" s="76" t="n">
        <f aca="false">MAX(0, 'Grilles et calculs individuels'!I44*'données complémentaires'!$D57-'plafond sécu et CNAV'!$F57)*$E57/$B57</f>
        <v>0</v>
      </c>
      <c r="O95" s="76" t="s">
        <v>70</v>
      </c>
    </row>
    <row r="96" customFormat="false" ht="12.8" hidden="false" customHeight="false" outlineLevel="0" collapsed="false">
      <c r="G96" s="54" t="n">
        <v>41</v>
      </c>
      <c r="H96" s="76" t="n">
        <f aca="false">MAX(0, 'Grilles et calculs individuels'!C45*'données complémentaires'!$D51-'plafond sécu et CNAV'!$F51)*$E51/$B51</f>
        <v>0</v>
      </c>
      <c r="I96" s="76" t="s">
        <v>70</v>
      </c>
      <c r="J96" s="76" t="s">
        <v>70</v>
      </c>
      <c r="K96" s="76" t="s">
        <v>70</v>
      </c>
      <c r="L96" s="76" t="n">
        <f aca="false">MAX(0, 'Grilles et calculs individuels'!G45*'données complémentaires'!$D58-'plafond sécu et CNAV'!$F58)*$E58/$B58</f>
        <v>0</v>
      </c>
      <c r="M96" s="76" t="n">
        <f aca="false">MAX(0, 'Grilles et calculs individuels'!H45*'données complémentaires'!$D58-'plafond sécu et CNAV'!$F58)*$E58/$B58</f>
        <v>0</v>
      </c>
      <c r="N96" s="76" t="n">
        <f aca="false">MAX(0, 'Grilles et calculs individuels'!I45*'données complémentaires'!$D58-'plafond sécu et CNAV'!$F58)*$E58/$B58</f>
        <v>0</v>
      </c>
      <c r="O96" s="76" t="s">
        <v>70</v>
      </c>
    </row>
    <row r="97" customFormat="false" ht="12.8" hidden="false" customHeight="false" outlineLevel="0" collapsed="false">
      <c r="G97" s="91" t="s">
        <v>95</v>
      </c>
      <c r="H97" s="92" t="n">
        <f aca="false">SUM(H55:H94)</f>
        <v>0</v>
      </c>
      <c r="I97" s="92" t="n">
        <v>0</v>
      </c>
      <c r="J97" s="92" t="n">
        <v>0</v>
      </c>
      <c r="K97" s="92" t="n">
        <v>0</v>
      </c>
      <c r="L97" s="92" t="n">
        <f aca="false">SUM(L55:L94)</f>
        <v>0</v>
      </c>
      <c r="M97" s="92" t="n">
        <f aca="false">SUM(M55:M94)</f>
        <v>0</v>
      </c>
      <c r="N97" s="92" t="n">
        <f aca="false">SUM(N55:N94)</f>
        <v>0</v>
      </c>
      <c r="O97" s="92" t="n">
        <v>0</v>
      </c>
    </row>
    <row r="98" customFormat="false" ht="12.8" hidden="false" customHeight="false" outlineLevel="0" collapsed="false">
      <c r="G98" s="91" t="s">
        <v>96</v>
      </c>
      <c r="H98" s="92" t="n">
        <f aca="false">H46+H97</f>
        <v>368.033438956813</v>
      </c>
      <c r="I98" s="92" t="n">
        <f aca="false">I46+I97</f>
        <v>414.479674565355</v>
      </c>
      <c r="J98" s="92" t="n">
        <f aca="false">J46+J97</f>
        <v>402.453538544155</v>
      </c>
      <c r="K98" s="92" t="n">
        <f aca="false">K46+K97</f>
        <v>402.110978056571</v>
      </c>
      <c r="L98" s="92" t="n">
        <f aca="false">L46+L97</f>
        <v>320.846642559674</v>
      </c>
      <c r="M98" s="92" t="n">
        <f aca="false">M46+M97</f>
        <v>320.846642559674</v>
      </c>
      <c r="N98" s="92" t="n">
        <f aca="false">N46+N97</f>
        <v>245.64950402098</v>
      </c>
      <c r="O98" s="92" t="n">
        <f aca="false">O46+O97</f>
        <v>332.059329143684</v>
      </c>
    </row>
    <row r="99" customFormat="false" ht="12.8" hidden="false" customHeight="false" outlineLevel="0" collapsed="false">
      <c r="G99" s="88" t="s">
        <v>97</v>
      </c>
      <c r="H99" s="89" t="n">
        <f aca="false">H98*$L$1</f>
        <v>460.52024216666</v>
      </c>
      <c r="I99" s="89" t="n">
        <f aca="false">I98*$L$1</f>
        <v>518.638416783629</v>
      </c>
      <c r="J99" s="89" t="n">
        <f aca="false">J98*$L$1</f>
        <v>503.590112780301</v>
      </c>
      <c r="K99" s="89" t="n">
        <f aca="false">K98*$L$1</f>
        <v>503.161466842187</v>
      </c>
      <c r="L99" s="89" t="n">
        <f aca="false">L98*$L$1</f>
        <v>401.475403834921</v>
      </c>
      <c r="M99" s="89" t="n">
        <f aca="false">M98*$L$1</f>
        <v>401.475403834921</v>
      </c>
      <c r="N99" s="89" t="n">
        <f aca="false">N98*$L$1</f>
        <v>307.381224381452</v>
      </c>
      <c r="O99" s="89" t="n">
        <f aca="false">O98*$L$1</f>
        <v>415.505838557492</v>
      </c>
    </row>
  </sheetData>
  <sheetProtection sheet="true" password="9cd6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I33" activeCellId="0" sqref="I33"/>
    </sheetView>
  </sheetViews>
  <sheetFormatPr defaultRowHeight="12.85"/>
  <cols>
    <col collapsed="false" hidden="false" max="2" min="1" style="0" width="11.5204081632653"/>
    <col collapsed="false" hidden="false" max="3" min="3" style="0" width="35.8520408163265"/>
    <col collapsed="false" hidden="false" max="4" min="4" style="0" width="17.6581632653061"/>
    <col collapsed="false" hidden="true" max="5" min="5" style="0" width="0"/>
    <col collapsed="false" hidden="true" max="6" min="6" style="23" width="0"/>
    <col collapsed="false" hidden="false" max="7" min="7" style="0" width="26.4030612244898"/>
    <col collapsed="false" hidden="false" max="8" min="8" style="0" width="33.7397959183673"/>
    <col collapsed="false" hidden="false" max="9" min="9" style="0" width="22.1377551020408"/>
    <col collapsed="false" hidden="false" max="10" min="10" style="0" width="19.8775510204082"/>
    <col collapsed="false" hidden="false" max="11" min="11" style="0" width="19.0357142857143"/>
    <col collapsed="false" hidden="false" max="12" min="12" style="0" width="18.6122448979592"/>
    <col collapsed="false" hidden="false" max="1025" min="13" style="0" width="11.5204081632653"/>
  </cols>
  <sheetData>
    <row r="1" customFormat="false" ht="12.8" hidden="false" customHeight="false" outlineLevel="0" collapsed="false">
      <c r="F1" s="0"/>
      <c r="I1" s="0" t="n">
        <v>5</v>
      </c>
      <c r="J1" s="0" t="n">
        <v>10</v>
      </c>
      <c r="K1" s="0" t="n">
        <v>15</v>
      </c>
      <c r="L1" s="0" t="n">
        <v>20</v>
      </c>
    </row>
    <row r="2" customFormat="false" ht="12.8" hidden="false" customHeight="false" outlineLevel="0" collapsed="false">
      <c r="A2" s="0" t="s">
        <v>98</v>
      </c>
      <c r="B2" s="43" t="s">
        <v>99</v>
      </c>
      <c r="C2" s="43" t="s">
        <v>100</v>
      </c>
      <c r="D2" s="43" t="s">
        <v>101</v>
      </c>
      <c r="E2" s="43" t="s">
        <v>102</v>
      </c>
      <c r="F2" s="93" t="s">
        <v>103</v>
      </c>
      <c r="G2" s="43" t="s">
        <v>104</v>
      </c>
      <c r="H2" s="94" t="s">
        <v>105</v>
      </c>
      <c r="I2" s="43" t="s">
        <v>106</v>
      </c>
      <c r="J2" s="43" t="s">
        <v>107</v>
      </c>
      <c r="K2" s="43" t="s">
        <v>108</v>
      </c>
      <c r="L2" s="43" t="s">
        <v>109</v>
      </c>
    </row>
    <row r="3" customFormat="false" ht="12.8" hidden="false" customHeight="false" outlineLevel="0" collapsed="false">
      <c r="A3" s="0" t="n">
        <v>1</v>
      </c>
      <c r="B3" s="48" t="n">
        <v>2015</v>
      </c>
      <c r="C3" s="95" t="n">
        <v>55000</v>
      </c>
      <c r="D3" s="96" t="n">
        <v>0.015</v>
      </c>
      <c r="E3" s="48" t="n">
        <v>2941.6111069287</v>
      </c>
      <c r="F3" s="48" t="n">
        <f aca="false">C3*E3</f>
        <v>161788610.881078</v>
      </c>
      <c r="G3" s="97" t="n">
        <v>164100.097788612</v>
      </c>
      <c r="H3" s="98" t="n">
        <f aca="false">G3/'données complémentaires'!$N$5*C3</f>
        <v>355911040.959761</v>
      </c>
      <c r="I3" s="99" t="n">
        <f aca="false">$C3*$G3/'données complémentaires'!$N$5*$A3/I1</f>
        <v>71182208.1919522</v>
      </c>
      <c r="J3" s="99" t="n">
        <f aca="false">$C3*$G3/'données complémentaires'!$N$5*$A3/J1</f>
        <v>35591104.0959761</v>
      </c>
      <c r="K3" s="99" t="n">
        <f aca="false">$C3*$G3/'données complémentaires'!$N$5*$A3/K1</f>
        <v>23727402.7306507</v>
      </c>
      <c r="L3" s="99" t="n">
        <f aca="false">$C3*$G3/'données complémentaires'!$N$5*$A3/L1</f>
        <v>17795552.0479881</v>
      </c>
    </row>
    <row r="4" customFormat="false" ht="12.8" hidden="false" customHeight="false" outlineLevel="0" collapsed="false">
      <c r="A4" s="0" t="n">
        <v>2</v>
      </c>
      <c r="B4" s="0" t="n">
        <v>2016</v>
      </c>
      <c r="C4" s="100" t="n">
        <f aca="false">C3*(1+D3)</f>
        <v>55825</v>
      </c>
      <c r="D4" s="4" t="n">
        <v>0.015</v>
      </c>
      <c r="E4" s="0" t="n">
        <v>2869.16087106971</v>
      </c>
      <c r="F4" s="0" t="n">
        <f aca="false">C4*E4+F3</f>
        <v>321959516.508545</v>
      </c>
      <c r="G4" s="23" t="n">
        <v>169148.40815061</v>
      </c>
      <c r="H4" s="98" t="n">
        <f aca="false">G4/'données complémentaires'!$N$5*C4+H3</f>
        <v>728274090.313984</v>
      </c>
      <c r="I4" s="99" t="n">
        <f aca="false">$C4*$G3/'données complémentaires'!$N$5*(1/I$1)*MIN(I$1,$A4)+I3</f>
        <v>215682090.821615</v>
      </c>
      <c r="J4" s="99" t="n">
        <f aca="false">$C4*$G3/'données complémentaires'!$N$5*(1/J$1)*MIN(J$1,$A4)+J3</f>
        <v>107841045.410808</v>
      </c>
      <c r="K4" s="99" t="n">
        <f aca="false">$C4*$G3/'données complémentaires'!$N$5*(1/K$1)*MIN(K$1,$A4)+K3</f>
        <v>71894030.2738718</v>
      </c>
      <c r="L4" s="99" t="n">
        <f aca="false">$C4*$G3/'données complémentaires'!$N$5*(1/L$1)*MIN(L$1,$A4)+L3</f>
        <v>53920522.7054038</v>
      </c>
    </row>
    <row r="5" customFormat="false" ht="12.8" hidden="false" customHeight="false" outlineLevel="0" collapsed="false">
      <c r="A5" s="0" t="n">
        <v>3</v>
      </c>
      <c r="B5" s="48" t="n">
        <v>2017</v>
      </c>
      <c r="C5" s="95" t="n">
        <f aca="false">C4*(1+D4)</f>
        <v>56662.375</v>
      </c>
      <c r="D5" s="96" t="n">
        <v>0.015</v>
      </c>
      <c r="E5" s="48" t="n">
        <v>2906.38696254008</v>
      </c>
      <c r="F5" s="48" t="n">
        <f aca="false">C5*E5+F4</f>
        <v>486642304.475102</v>
      </c>
      <c r="G5" s="97" t="n">
        <v>174094.254660366</v>
      </c>
      <c r="H5" s="98" t="n">
        <f aca="false">G5/'données complémentaires'!$N$5*C5+H4</f>
        <v>1117273681.10471</v>
      </c>
      <c r="I5" s="99" t="n">
        <f aca="false">$C5*$G4/'données complémentaires'!$N$5*(1/I$1)*MIN(I$1,$A5)+I4</f>
        <v>442451187.878337</v>
      </c>
      <c r="J5" s="99" t="n">
        <f aca="false">$C5*$G4/'données complémentaires'!$N$5*(1/J$1)*MIN(J$1,$A5)+J4</f>
        <v>221225593.939169</v>
      </c>
      <c r="K5" s="99" t="n">
        <f aca="false">$C5*$G4/'données complémentaires'!$N$5*(1/K$1)*MIN(K$1,$A5)+K4</f>
        <v>147483729.292779</v>
      </c>
      <c r="L5" s="99" t="n">
        <f aca="false">$C5*$G4/'données complémentaires'!$N$5*(1/L$1)*MIN(L$1,$A5)+L4</f>
        <v>110612796.969584</v>
      </c>
    </row>
    <row r="6" customFormat="false" ht="12.8" hidden="false" customHeight="false" outlineLevel="0" collapsed="false">
      <c r="A6" s="0" t="n">
        <v>4</v>
      </c>
      <c r="B6" s="0" t="n">
        <v>2018</v>
      </c>
      <c r="C6" s="100" t="n">
        <f aca="false">C5*(1+D5)</f>
        <v>57512.310625</v>
      </c>
      <c r="D6" s="4" t="n">
        <v>0.015</v>
      </c>
      <c r="E6" s="0" t="n">
        <v>2916.64912700806</v>
      </c>
      <c r="F6" s="0" t="n">
        <f aca="false">C6*E6+F5</f>
        <v>654385535.051724</v>
      </c>
      <c r="G6" s="23" t="n">
        <v>178514.850576077</v>
      </c>
      <c r="H6" s="98" t="n">
        <f aca="false">G6/'données complémentaires'!$N$5*C6+H5</f>
        <v>1522133893.28706</v>
      </c>
      <c r="I6" s="99" t="n">
        <f aca="false">$C6*$G5/'données complémentaires'!$N$5*(1/I$1)*MIN(I$1,$A6)+I5</f>
        <v>758318855.600407</v>
      </c>
      <c r="J6" s="99" t="n">
        <f aca="false">$C6*$G5/'données complémentaires'!$N$5*(1/J$1)*MIN(J$1,$A6)+J5</f>
        <v>379159427.800203</v>
      </c>
      <c r="K6" s="99" t="n">
        <f aca="false">$C6*$G5/'données complémentaires'!$N$5*(1/K$1)*MIN(K$1,$A6)+K5</f>
        <v>252772951.866802</v>
      </c>
      <c r="L6" s="99" t="n">
        <f aca="false">$C6*$G5/'données complémentaires'!$N$5*(1/L$1)*MIN(L$1,$A6)+L5</f>
        <v>189579713.900102</v>
      </c>
    </row>
    <row r="7" customFormat="false" ht="12.8" hidden="false" customHeight="false" outlineLevel="0" collapsed="false">
      <c r="A7" s="0" t="n">
        <v>5</v>
      </c>
      <c r="B7" s="48" t="n">
        <v>2019</v>
      </c>
      <c r="C7" s="95" t="n">
        <f aca="false">C6*(1+D6)</f>
        <v>58374.995284375</v>
      </c>
      <c r="D7" s="96" t="n">
        <v>0.015</v>
      </c>
      <c r="E7" s="48" t="n">
        <v>2928.12192203262</v>
      </c>
      <c r="F7" s="48" t="n">
        <f aca="false">C7*E7+F6</f>
        <v>825314638.442454</v>
      </c>
      <c r="G7" s="97" t="n">
        <v>182721.747764219</v>
      </c>
      <c r="H7" s="98" t="n">
        <f aca="false">G7/'données complémentaires'!$N$5*C7+H6</f>
        <v>1942751095.78532</v>
      </c>
      <c r="I7" s="99" t="n">
        <f aca="false">$C7*$G6/'données complémentaires'!$N$5*(1/I$1)*MIN(I$1,$A7)+I6</f>
        <v>1169251970.96549</v>
      </c>
      <c r="J7" s="99" t="n">
        <f aca="false">$C7*$G6/'données complémentaires'!$N$5*(1/J$1)*MIN(J$1,$A7)+J6</f>
        <v>584625985.482747</v>
      </c>
      <c r="K7" s="99" t="n">
        <f aca="false">$C7*$G6/'données complémentaires'!$N$5*(1/K$1)*MIN(K$1,$A7)+K6</f>
        <v>389750656.988498</v>
      </c>
      <c r="L7" s="99" t="n">
        <f aca="false">$C7*$G6/'données complémentaires'!$N$5*(1/L$1)*MIN(L$1,$A7)+L6</f>
        <v>292312992.741374</v>
      </c>
    </row>
    <row r="8" customFormat="false" ht="12.8" hidden="false" customHeight="false" outlineLevel="0" collapsed="false">
      <c r="A8" s="0" t="n">
        <v>6</v>
      </c>
      <c r="B8" s="0" t="n">
        <v>2020</v>
      </c>
      <c r="C8" s="100" t="n">
        <f aca="false">C7*(1+D7)</f>
        <v>59250.6202136406</v>
      </c>
      <c r="D8" s="4" t="n">
        <v>0.015</v>
      </c>
      <c r="E8" s="0" t="n">
        <v>2929.5774452406</v>
      </c>
      <c r="F8" s="0" t="n">
        <f aca="false">C8*E8+F7</f>
        <v>998893919.036852</v>
      </c>
      <c r="G8" s="23" t="n">
        <v>185933.700860382</v>
      </c>
      <c r="H8" s="98" t="n">
        <f aca="false">G8/'données complémentaires'!$N$5*C8+H7</f>
        <v>2377182233.69816</v>
      </c>
      <c r="I8" s="99" t="n">
        <f aca="false">$C8*$G7/'données complémentaires'!$N$5*(1/I$1)*MIN(I$1,$A8)+I7</f>
        <v>1596178431.50123</v>
      </c>
      <c r="J8" s="99" t="n">
        <f aca="false">$C8*$G7/'données complémentaires'!$N$5*(1/J$1)*MIN(J$1,$A8)+J7</f>
        <v>840781861.804186</v>
      </c>
      <c r="K8" s="99" t="n">
        <f aca="false">$C8*$G7/'données complémentaires'!$N$5*(1/K$1)*MIN(K$1,$A8)+K7</f>
        <v>560521241.202791</v>
      </c>
      <c r="L8" s="99" t="n">
        <f aca="false">$C8*$G7/'données complémentaires'!$N$5*(1/L$1)*MIN(L$1,$A8)+L7</f>
        <v>420390930.902093</v>
      </c>
    </row>
    <row r="9" customFormat="false" ht="12.8" hidden="false" customHeight="false" outlineLevel="0" collapsed="false">
      <c r="A9" s="0" t="n">
        <v>7</v>
      </c>
      <c r="B9" s="48" t="n">
        <v>2021</v>
      </c>
      <c r="C9" s="95" t="n">
        <f aca="false">C8*(1+D8)</f>
        <v>60139.3795168452</v>
      </c>
      <c r="D9" s="96" t="n">
        <v>0.015</v>
      </c>
      <c r="E9" s="48" t="n">
        <v>2931.11012557284</v>
      </c>
      <c r="F9" s="48" t="n">
        <f aca="false">C9*E9+F8</f>
        <v>1175169063.28434</v>
      </c>
      <c r="G9" s="97" t="n">
        <v>188859.052574759</v>
      </c>
      <c r="H9" s="98" t="n">
        <f aca="false">G9/'données complémentaires'!$N$5*C9+H8</f>
        <v>2825067402.04886</v>
      </c>
      <c r="I9" s="99" t="n">
        <f aca="false">$C9*$G8/'données complémentaires'!$N$5*(1/I$1)*MIN(I$1,$A9)+I8</f>
        <v>2037126036.48276</v>
      </c>
      <c r="J9" s="99" t="n">
        <f aca="false">$C9*$G8/'données complémentaires'!$N$5*(1/J$1)*MIN(J$1,$A9)+J8</f>
        <v>1149445185.29126</v>
      </c>
      <c r="K9" s="99" t="n">
        <f aca="false">$C9*$G8/'données complémentaires'!$N$5*(1/K$1)*MIN(K$1,$A9)+K8</f>
        <v>766296790.194173</v>
      </c>
      <c r="L9" s="99" t="n">
        <f aca="false">$C9*$G8/'données complémentaires'!$N$5*(1/L$1)*MIN(L$1,$A9)+L8</f>
        <v>574722592.64563</v>
      </c>
    </row>
    <row r="10" customFormat="false" ht="12.8" hidden="false" customHeight="false" outlineLevel="0" collapsed="false">
      <c r="A10" s="0" t="n">
        <v>8</v>
      </c>
      <c r="B10" s="0" t="n">
        <v>2022</v>
      </c>
      <c r="C10" s="100" t="n">
        <f aca="false">C9*(1+D9)</f>
        <v>61041.4702095979</v>
      </c>
      <c r="D10" s="4" t="n">
        <v>0.007</v>
      </c>
      <c r="E10" s="0" t="n">
        <v>2928.18748673147</v>
      </c>
      <c r="F10" s="0" t="n">
        <f aca="false">C10*E10+F9</f>
        <v>1353909932.52378</v>
      </c>
      <c r="G10" s="23" t="n">
        <v>191642.740533427</v>
      </c>
      <c r="H10" s="98" t="n">
        <f aca="false">G10/'données complémentaires'!$N$5*C10+H9</f>
        <v>3286371475.30277</v>
      </c>
      <c r="I10" s="99" t="n">
        <f aca="false">$C10*$G9/'données complémentaires'!$N$5*(1/I$1)*MIN(I$1,$A10)+I9</f>
        <v>2491729482.35872</v>
      </c>
      <c r="J10" s="99" t="n">
        <f aca="false">$C10*$G9/'données complémentaires'!$N$5*(1/J$1)*MIN(J$1,$A10)+J9</f>
        <v>1513127941.99203</v>
      </c>
      <c r="K10" s="99" t="n">
        <f aca="false">$C10*$G9/'données complémentaires'!$N$5*(1/K$1)*MIN(K$1,$A10)+K9</f>
        <v>1008751961.32802</v>
      </c>
      <c r="L10" s="99" t="n">
        <f aca="false">$C10*$G9/'données complémentaires'!$N$5*(1/L$1)*MIN(L$1,$A10)+L9</f>
        <v>756563970.996015</v>
      </c>
    </row>
    <row r="11" customFormat="false" ht="12.8" hidden="false" customHeight="false" outlineLevel="0" collapsed="false">
      <c r="A11" s="0" t="n">
        <v>9</v>
      </c>
      <c r="B11" s="48" t="n">
        <v>2023</v>
      </c>
      <c r="C11" s="95" t="n">
        <f aca="false">C10*(1+D10)</f>
        <v>61468.7605010651</v>
      </c>
      <c r="D11" s="96" t="n">
        <v>0.007</v>
      </c>
      <c r="E11" s="48" t="n">
        <v>2930.34893862898</v>
      </c>
      <c r="F11" s="48" t="n">
        <f aca="false">C11*E11+F10</f>
        <v>1534034849.61692</v>
      </c>
      <c r="G11" s="97" t="n">
        <v>194195.460707414</v>
      </c>
      <c r="H11" s="98" t="n">
        <f aca="false">G11/'données complémentaires'!$N$5*C11+H10</f>
        <v>3757092353.53627</v>
      </c>
      <c r="I11" s="99" t="n">
        <f aca="false">$C11*$G10/'données complémentaires'!$N$5*(1/I$1)*MIN(I$1,$A11)+I10</f>
        <v>2956262684.1254</v>
      </c>
      <c r="J11" s="99" t="n">
        <f aca="false">$C11*$G10/'données complémentaires'!$N$5*(1/J$1)*MIN(J$1,$A11)+J10</f>
        <v>1931207823.58204</v>
      </c>
      <c r="K11" s="99" t="n">
        <f aca="false">$C11*$G10/'données complémentaires'!$N$5*(1/K$1)*MIN(K$1,$A11)+K10</f>
        <v>1287471882.38803</v>
      </c>
      <c r="L11" s="99" t="n">
        <f aca="false">$C11*$G10/'données complémentaires'!$N$5*(1/L$1)*MIN(L$1,$A11)+L10</f>
        <v>965603911.791021</v>
      </c>
    </row>
    <row r="12" customFormat="false" ht="12.8" hidden="false" customHeight="false" outlineLevel="0" collapsed="false">
      <c r="A12" s="0" t="n">
        <v>10</v>
      </c>
      <c r="B12" s="0" t="n">
        <v>2024</v>
      </c>
      <c r="C12" s="100" t="n">
        <f aca="false">C11*(1+D11)</f>
        <v>61899.0418245725</v>
      </c>
      <c r="D12" s="4" t="n">
        <v>0.007</v>
      </c>
      <c r="E12" s="0" t="n">
        <v>2934.66920250579</v>
      </c>
      <c r="F12" s="0" t="n">
        <f aca="false">C12*E12+F11</f>
        <v>1715688061.32411</v>
      </c>
      <c r="G12" s="23" t="n">
        <v>196617.119885319</v>
      </c>
      <c r="H12" s="98" t="n">
        <f aca="false">G12/'données complémentaires'!$N$5*C12+H11</f>
        <v>4237019358.48319</v>
      </c>
      <c r="I12" s="99" t="n">
        <f aca="false">$C12*$G11/'données complémentaires'!$N$5*(1/I$1)*MIN(I$1,$A12)+I11</f>
        <v>3430278608.50654</v>
      </c>
      <c r="J12" s="99" t="n">
        <f aca="false">$C12*$G11/'données complémentaires'!$N$5*(1/J$1)*MIN(J$1,$A12)+J11</f>
        <v>2405223747.96318</v>
      </c>
      <c r="K12" s="99" t="n">
        <f aca="false">$C12*$G11/'données complémentaires'!$N$5*(1/K$1)*MIN(K$1,$A12)+K11</f>
        <v>1603482498.64212</v>
      </c>
      <c r="L12" s="99" t="n">
        <f aca="false">$C12*$G11/'données complémentaires'!$N$5*(1/L$1)*MIN(L$1,$A12)+L11</f>
        <v>1202611873.98159</v>
      </c>
    </row>
    <row r="13" customFormat="false" ht="12.8" hidden="false" customHeight="false" outlineLevel="0" collapsed="false">
      <c r="A13" s="0" t="n">
        <v>11</v>
      </c>
      <c r="B13" s="48" t="n">
        <v>2025</v>
      </c>
      <c r="C13" s="95" t="n">
        <f aca="false">C12*(1+D12)</f>
        <v>62332.3351173445</v>
      </c>
      <c r="D13" s="96" t="n">
        <v>0.007</v>
      </c>
      <c r="E13" s="48" t="n">
        <v>2917.07972957057</v>
      </c>
      <c r="F13" s="48" t="n">
        <f aca="false">C13*E13+F12</f>
        <v>1897516452.59171</v>
      </c>
      <c r="G13" s="97" t="n">
        <v>198561.511260451</v>
      </c>
      <c r="H13" s="98" t="n">
        <f aca="false">G13/'données complémentaires'!$N$5*C13+H12</f>
        <v>4725085182.41914</v>
      </c>
      <c r="I13" s="99" t="n">
        <f aca="false">$C13*$G12/'données complémentaires'!$N$5*(1/I$1)*MIN(I$1,$A13)+I12</f>
        <v>3913565102.48809</v>
      </c>
      <c r="J13" s="99" t="n">
        <f aca="false">$C13*$G12/'données complémentaires'!$N$5*(1/J$1)*MIN(J$1,$A13)+J12</f>
        <v>2888510241.94473</v>
      </c>
      <c r="K13" s="99" t="n">
        <f aca="false">$C13*$G12/'données complémentaires'!$N$5*(1/K$1)*MIN(K$1,$A13)+K12</f>
        <v>1957892594.22859</v>
      </c>
      <c r="L13" s="99" t="n">
        <f aca="false">$C13*$G12/'données complémentaires'!$N$5*(1/L$1)*MIN(L$1,$A13)+L12</f>
        <v>1468419445.67144</v>
      </c>
    </row>
    <row r="14" customFormat="false" ht="12.8" hidden="false" customHeight="false" outlineLevel="0" collapsed="false">
      <c r="A14" s="0" t="n">
        <v>12</v>
      </c>
      <c r="B14" s="0" t="n">
        <v>2026</v>
      </c>
      <c r="C14" s="100" t="n">
        <f aca="false">C13*(1+D13)</f>
        <v>62768.6614631659</v>
      </c>
      <c r="D14" s="4" t="n">
        <v>0.007</v>
      </c>
      <c r="E14" s="0" t="n">
        <v>2898.26916563805</v>
      </c>
      <c r="F14" s="0" t="n">
        <f aca="false">C14*E14+F13</f>
        <v>2079436928.67878</v>
      </c>
      <c r="G14" s="23" t="n">
        <v>200212.984024349</v>
      </c>
      <c r="H14" s="98" t="n">
        <f aca="false">G14/'données complémentaires'!$N$5*C14+H13</f>
        <v>5220655216.06236</v>
      </c>
      <c r="I14" s="99" t="n">
        <f aca="false">$C14*$G13/'données complémentaires'!$N$5*(1/I$1)*MIN(I$1,$A14)+I13</f>
        <v>4405047387.19159</v>
      </c>
      <c r="J14" s="99" t="n">
        <f aca="false">$C14*$G13/'données complémentaires'!$N$5*(1/J$1)*MIN(J$1,$A14)+J13</f>
        <v>3379992526.64823</v>
      </c>
      <c r="K14" s="99" t="n">
        <f aca="false">$C14*$G13/'données complémentaires'!$N$5*(1/K$1)*MIN(K$1,$A14)+K13</f>
        <v>2351078421.99139</v>
      </c>
      <c r="L14" s="99" t="n">
        <f aca="false">$C14*$G13/'données complémentaires'!$N$5*(1/L$1)*MIN(L$1,$A14)+L13</f>
        <v>1763308816.49354</v>
      </c>
    </row>
    <row r="15" customFormat="false" ht="12.8" hidden="false" customHeight="false" outlineLevel="0" collapsed="false">
      <c r="A15" s="0" t="n">
        <v>13</v>
      </c>
      <c r="B15" s="48" t="n">
        <v>2027</v>
      </c>
      <c r="C15" s="95" t="n">
        <f aca="false">C14*(1+D14)</f>
        <v>63208.0420934081</v>
      </c>
      <c r="D15" s="96" t="n">
        <v>0.007</v>
      </c>
      <c r="E15" s="48" t="n">
        <v>2895.40478715282</v>
      </c>
      <c r="F15" s="48" t="n">
        <f aca="false">C15*E15+F14</f>
        <v>2262449796.34259</v>
      </c>
      <c r="G15" s="97" t="n">
        <v>202237.138383365</v>
      </c>
      <c r="H15" s="98" t="n">
        <f aca="false">G15/'données complémentaires'!$N$5*C15+H14</f>
        <v>5724739527.1907</v>
      </c>
      <c r="I15" s="99" t="n">
        <f aca="false">$C15*$G14/'données complémentaires'!$N$5*(1/I$1)*MIN(I$1,$A15)+I14</f>
        <v>4904086411.07032</v>
      </c>
      <c r="J15" s="99" t="n">
        <f aca="false">$C15*$G14/'données complémentaires'!$N$5*(1/J$1)*MIN(J$1,$A15)+J14</f>
        <v>3879031550.52696</v>
      </c>
      <c r="K15" s="99" t="n">
        <f aca="false">$C15*$G14/'données complémentaires'!$N$5*(1/K$1)*MIN(K$1,$A15)+K14</f>
        <v>2783578909.35295</v>
      </c>
      <c r="L15" s="99" t="n">
        <f aca="false">$C15*$G14/'données complémentaires'!$N$5*(1/L$1)*MIN(L$1,$A15)+L14</f>
        <v>2087684182.01472</v>
      </c>
    </row>
    <row r="16" customFormat="false" ht="12.8" hidden="false" customHeight="false" outlineLevel="0" collapsed="false">
      <c r="A16" s="0" t="n">
        <v>14</v>
      </c>
      <c r="B16" s="0" t="n">
        <v>2028</v>
      </c>
      <c r="C16" s="100" t="n">
        <f aca="false">C15*(1+D15)</f>
        <v>63650.4983880619</v>
      </c>
      <c r="D16" s="4" t="n">
        <v>0.007</v>
      </c>
      <c r="E16" s="0" t="n">
        <v>2916.31311464184</v>
      </c>
      <c r="F16" s="0" t="n">
        <f aca="false">C16*E16+F15</f>
        <v>2448074579.54518</v>
      </c>
      <c r="G16" s="23" t="n">
        <v>204063.830097665</v>
      </c>
      <c r="H16" s="98" t="n">
        <f aca="false">G16/'données complémentaires'!$N$5*C16+H15</f>
        <v>6236937403.78041</v>
      </c>
      <c r="I16" s="99" t="n">
        <f aca="false">$C16*$G15/'données complémentaires'!$N$5*(1/I$1)*MIN(I$1,$A16)+I15</f>
        <v>5411699312.37655</v>
      </c>
      <c r="J16" s="99" t="n">
        <f aca="false">$C16*$G15/'données complémentaires'!$N$5*(1/J$1)*MIN(J$1,$A16)+J15</f>
        <v>4386644451.83319</v>
      </c>
      <c r="K16" s="99" t="n">
        <f aca="false">$C16*$G15/'données complémentaires'!$N$5*(1/K$1)*MIN(K$1,$A16)+K15</f>
        <v>3257350950.57211</v>
      </c>
      <c r="L16" s="99" t="n">
        <f aca="false">$C16*$G15/'données complémentaires'!$N$5*(1/L$1)*MIN(L$1,$A16)+L15</f>
        <v>2443013212.92908</v>
      </c>
    </row>
    <row r="17" customFormat="false" ht="12.8" hidden="false" customHeight="false" outlineLevel="0" collapsed="false">
      <c r="A17" s="0" t="n">
        <v>15</v>
      </c>
      <c r="B17" s="48" t="n">
        <v>2029</v>
      </c>
      <c r="C17" s="95" t="n">
        <f aca="false">C16*(1+D16)</f>
        <v>64096.0518767783</v>
      </c>
      <c r="D17" s="96" t="n">
        <v>0.007</v>
      </c>
      <c r="E17" s="48" t="n">
        <v>2921.28044542693</v>
      </c>
      <c r="F17" s="48" t="n">
        <f aca="false">C17*E17+F16</f>
        <v>2635317122.52189</v>
      </c>
      <c r="G17" s="97" t="n">
        <v>206131.821166532</v>
      </c>
      <c r="H17" s="98" t="n">
        <f aca="false">G17/'données complémentaires'!$N$5*C17+H16</f>
        <v>6757947633.8436</v>
      </c>
      <c r="I17" s="99" t="n">
        <f aca="false">$C17*$G16/'données complémentaires'!$N$5*(1/I$1)*MIN(I$1,$A17)+I16</f>
        <v>5927482574.10239</v>
      </c>
      <c r="J17" s="99" t="n">
        <f aca="false">$C17*$G16/'données complémentaires'!$N$5*(1/J$1)*MIN(J$1,$A17)+J16</f>
        <v>4902427713.55903</v>
      </c>
      <c r="K17" s="99" t="n">
        <f aca="false">$C17*$G16/'données complémentaires'!$N$5*(1/K$1)*MIN(K$1,$A17)+K16</f>
        <v>3773134212.29794</v>
      </c>
      <c r="L17" s="99" t="n">
        <f aca="false">$C17*$G16/'données complémentaires'!$N$5*(1/L$1)*MIN(L$1,$A17)+L16</f>
        <v>2829850659.22346</v>
      </c>
    </row>
    <row r="18" customFormat="false" ht="12.8" hidden="false" customHeight="false" outlineLevel="0" collapsed="false">
      <c r="A18" s="0" t="n">
        <v>16</v>
      </c>
      <c r="B18" s="0" t="n">
        <v>2030</v>
      </c>
      <c r="C18" s="100" t="n">
        <f aca="false">C17*(1+D17)</f>
        <v>64544.7242399158</v>
      </c>
      <c r="D18" s="4" t="n">
        <v>0.007</v>
      </c>
      <c r="E18" s="0" t="n">
        <v>2946.09505248848</v>
      </c>
      <c r="F18" s="0" t="n">
        <f aca="false">C18*E18+F17</f>
        <v>2825472015.26934</v>
      </c>
      <c r="G18" s="23" t="n">
        <v>208116.208134473</v>
      </c>
      <c r="H18" s="98" t="n">
        <f aca="false">G18/'données complémentaires'!$N$5*C18+H17</f>
        <v>7287655699.17994</v>
      </c>
      <c r="I18" s="99" t="n">
        <f aca="false">$C18*$G17/'données complémentaires'!$N$5*(1/I$1)*MIN(I$1,$A18)+I17</f>
        <v>6452139875.77602</v>
      </c>
      <c r="J18" s="99" t="n">
        <f aca="false">$C18*$G17/'données complémentaires'!$N$5*(1/J$1)*MIN(J$1,$A18)+J17</f>
        <v>5427085015.23266</v>
      </c>
      <c r="K18" s="99" t="n">
        <f aca="false">$C18*$G17/'données complémentaires'!$N$5*(1/K$1)*MIN(K$1,$A18)+K17</f>
        <v>4297791513.97157</v>
      </c>
      <c r="L18" s="99" t="n">
        <f aca="false">$C18*$G17/'données complémentaires'!$N$5*(1/L$1)*MIN(L$1,$A18)+L17</f>
        <v>3249576500.56236</v>
      </c>
    </row>
    <row r="19" customFormat="false" ht="12.8" hidden="false" customHeight="false" outlineLevel="0" collapsed="false">
      <c r="A19" s="0" t="n">
        <v>17</v>
      </c>
      <c r="B19" s="48" t="n">
        <v>2031</v>
      </c>
      <c r="C19" s="95" t="n">
        <f aca="false">C18*(1+D18)</f>
        <v>64996.5373095952</v>
      </c>
      <c r="D19" s="96" t="n">
        <v>0.007</v>
      </c>
      <c r="E19" s="48" t="n">
        <v>2965.58171764633</v>
      </c>
      <c r="F19" s="48" t="n">
        <f aca="false">C19*E19+F18</f>
        <v>3018224558.02499</v>
      </c>
      <c r="G19" s="97" t="n">
        <v>209513.246215279</v>
      </c>
      <c r="H19" s="98" t="n">
        <f aca="false">G19/'données complémentaires'!$N$5*C19+H18</f>
        <v>7824652424.76426</v>
      </c>
      <c r="I19" s="99" t="n">
        <f aca="false">$C19*$G18/'données complémentaires'!$N$5*(1/I$1)*MIN(I$1,$A19)+I18</f>
        <v>6985555897.56972</v>
      </c>
      <c r="J19" s="99" t="n">
        <f aca="false">$C19*$G18/'données complémentaires'!$N$5*(1/J$1)*MIN(J$1,$A19)+J18</f>
        <v>5960501037.02636</v>
      </c>
      <c r="K19" s="99" t="n">
        <f aca="false">$C19*$G18/'données complémentaires'!$N$5*(1/K$1)*MIN(K$1,$A19)+K18</f>
        <v>4831207535.76527</v>
      </c>
      <c r="L19" s="99" t="n">
        <f aca="false">$C19*$G18/'données complémentaires'!$N$5*(1/L$1)*MIN(L$1,$A19)+L18</f>
        <v>3702980119.08701</v>
      </c>
    </row>
    <row r="20" customFormat="false" ht="12.8" hidden="false" customHeight="false" outlineLevel="0" collapsed="false">
      <c r="A20" s="0" t="n">
        <v>18</v>
      </c>
      <c r="B20" s="0" t="n">
        <v>2032</v>
      </c>
      <c r="C20" s="100" t="n">
        <f aca="false">C19*(1+D19)</f>
        <v>65451.5130707623</v>
      </c>
      <c r="D20" s="4" t="n">
        <v>0</v>
      </c>
      <c r="E20" s="0" t="n">
        <v>2998.00793954245</v>
      </c>
      <c r="F20" s="0" t="n">
        <f aca="false">C20*E20+F19</f>
        <v>3214448713.8662</v>
      </c>
      <c r="G20" s="23" t="n">
        <v>211035.142201613</v>
      </c>
      <c r="H20" s="98" t="n">
        <f aca="false">G20/'données complémentaires'!$N$5*C20+H19</f>
        <v>8369336155.59934</v>
      </c>
      <c r="I20" s="99" t="n">
        <f aca="false">$C20*$G19/'données complémentaires'!$N$5*(1/I$1)*MIN(I$1,$A20)+I19</f>
        <v>7526311600.23313</v>
      </c>
      <c r="J20" s="99" t="n">
        <f aca="false">$C20*$G19/'données complémentaires'!$N$5*(1/J$1)*MIN(J$1,$A20)+J19</f>
        <v>6501256739.68977</v>
      </c>
      <c r="K20" s="99" t="n">
        <f aca="false">$C20*$G19/'données complémentaires'!$N$5*(1/K$1)*MIN(K$1,$A20)+K19</f>
        <v>5371963238.42868</v>
      </c>
      <c r="L20" s="99" t="n">
        <f aca="false">$C20*$G19/'données complémentaires'!$N$5*(1/L$1)*MIN(L$1,$A20)+L19</f>
        <v>4189660251.48408</v>
      </c>
    </row>
    <row r="21" customFormat="false" ht="12.8" hidden="false" customHeight="false" outlineLevel="0" collapsed="false">
      <c r="A21" s="0" t="n">
        <v>19</v>
      </c>
      <c r="B21" s="48" t="n">
        <v>2033</v>
      </c>
      <c r="C21" s="95" t="n">
        <f aca="false">C20*(1+D20)</f>
        <v>65451.5130707623</v>
      </c>
      <c r="D21" s="96" t="n">
        <v>0</v>
      </c>
      <c r="E21" s="48" t="n">
        <v>3028.57467440312</v>
      </c>
      <c r="F21" s="48" t="n">
        <f aca="false">C21*E21+F20</f>
        <v>3412673508.75368</v>
      </c>
      <c r="G21" s="97" t="n">
        <v>212860.658165714</v>
      </c>
      <c r="H21" s="98" t="n">
        <f aca="false">G21/'données complémentaires'!$N$5*C21+H20</f>
        <v>8918731560.68759</v>
      </c>
      <c r="I21" s="99" t="n">
        <f aca="false">$C21*$G20/'données complémentaires'!$N$5*(1/I$1)*MIN(I$1,$A21)+I20</f>
        <v>8070995331.06821</v>
      </c>
      <c r="J21" s="99" t="n">
        <f aca="false">$C21*$G20/'données complémentaires'!$N$5*(1/J$1)*MIN(J$1,$A21)+J20</f>
        <v>7045940470.52485</v>
      </c>
      <c r="K21" s="99" t="n">
        <f aca="false">$C21*$G20/'données complémentaires'!$N$5*(1/K$1)*MIN(K$1,$A21)+K20</f>
        <v>5916646969.26376</v>
      </c>
      <c r="L21" s="99" t="n">
        <f aca="false">$C21*$G20/'données complémentaires'!$N$5*(1/L$1)*MIN(L$1,$A21)+L20</f>
        <v>4707109795.7774</v>
      </c>
    </row>
    <row r="22" customFormat="false" ht="12.8" hidden="false" customHeight="false" outlineLevel="0" collapsed="false">
      <c r="A22" s="0" t="n">
        <v>20</v>
      </c>
      <c r="B22" s="0" t="n">
        <v>2034</v>
      </c>
      <c r="C22" s="100" t="n">
        <f aca="false">C21*(1+D21)</f>
        <v>65451.5130707623</v>
      </c>
      <c r="D22" s="4" t="n">
        <v>0</v>
      </c>
      <c r="E22" s="0" t="n">
        <v>3039.94291413559</v>
      </c>
      <c r="F22" s="0" t="n">
        <f aca="false">C22*E22+F21</f>
        <v>3611642372.13259</v>
      </c>
      <c r="G22" s="23" t="n">
        <v>214327.108830609</v>
      </c>
      <c r="H22" s="98" t="n">
        <f aca="false">G22/'données complémentaires'!$N$5*C22+H21</f>
        <v>9471911889.03984</v>
      </c>
      <c r="I22" s="99" t="n">
        <f aca="false">$C22*$G21/'données complémentaires'!$N$5*(1/I$1)*MIN(I$1,$A22)+I21</f>
        <v>8620390736.15646</v>
      </c>
      <c r="J22" s="99" t="n">
        <f aca="false">$C22*$G21/'données complémentaires'!$N$5*(1/J$1)*MIN(J$1,$A22)+J21</f>
        <v>7595335875.6131</v>
      </c>
      <c r="K22" s="99" t="n">
        <f aca="false">$C22*$G21/'données complémentaires'!$N$5*(1/K$1)*MIN(K$1,$A22)+K21</f>
        <v>6466042374.35201</v>
      </c>
      <c r="L22" s="99" t="n">
        <f aca="false">$C22*$G21/'données complémentaires'!$N$5*(1/L$1)*MIN(L$1,$A22)+L21</f>
        <v>5256505200.86565</v>
      </c>
    </row>
    <row r="23" customFormat="false" ht="12.8" hidden="false" customHeight="false" outlineLevel="0" collapsed="false">
      <c r="A23" s="0" t="n">
        <v>21</v>
      </c>
      <c r="B23" s="48" t="n">
        <v>2035</v>
      </c>
      <c r="C23" s="95" t="n">
        <f aca="false">C22*(1+D22)</f>
        <v>65451.5130707623</v>
      </c>
      <c r="D23" s="96" t="n">
        <v>0</v>
      </c>
      <c r="E23" s="48" t="n">
        <v>3047.01365838485</v>
      </c>
      <c r="F23" s="48" t="n">
        <f aca="false">C23*E23+F22</f>
        <v>3811074026.42116</v>
      </c>
      <c r="G23" s="97" t="n">
        <v>215663.807444602</v>
      </c>
      <c r="H23" s="98" t="n">
        <f aca="false">G23/'données complémentaires'!$N$5*C23+H22</f>
        <v>10028542249.3653</v>
      </c>
      <c r="I23" s="99" t="n">
        <f aca="false">$C23*$G22/'données complémentaires'!$N$5*(1/I$1)*MIN(I$1,$A23)+I22</f>
        <v>9173571064.50871</v>
      </c>
      <c r="J23" s="99" t="n">
        <f aca="false">$C23*$G22/'données complémentaires'!$N$5*(1/J$1)*MIN(J$1,$A23)+J22</f>
        <v>8148516203.96535</v>
      </c>
      <c r="K23" s="99" t="n">
        <f aca="false">$C23*$G22/'données complémentaires'!$N$5*(1/K$1)*MIN(K$1,$A23)+K22</f>
        <v>7019222702.70426</v>
      </c>
      <c r="L23" s="99" t="n">
        <f aca="false">$C23*$G22/'données complémentaires'!$N$5*(1/L$1)*MIN(L$1,$A23)+L22</f>
        <v>5809685529.2179</v>
      </c>
    </row>
    <row r="24" customFormat="false" ht="12.8" hidden="false" customHeight="false" outlineLevel="0" collapsed="false">
      <c r="A24" s="0" t="n">
        <v>22</v>
      </c>
      <c r="B24" s="0" t="n">
        <v>2036</v>
      </c>
      <c r="C24" s="100" t="n">
        <f aca="false">C23*(1+D23)</f>
        <v>65451.5130707623</v>
      </c>
      <c r="D24" s="4" t="n">
        <v>0</v>
      </c>
      <c r="E24" s="0" t="n">
        <v>3053.57851178281</v>
      </c>
      <c r="F24" s="0" t="n">
        <f aca="false">C24*E24+F23</f>
        <v>4010935360.29771</v>
      </c>
      <c r="G24" s="23" t="n">
        <v>216869.812106767</v>
      </c>
      <c r="H24" s="98" t="n">
        <f aca="false">G24/'données complémentaires'!$N$5*C24+H23</f>
        <v>10588285319.3179</v>
      </c>
      <c r="I24" s="99" t="n">
        <f aca="false">$C24*$G23/'données complémentaires'!$N$5*(1/I$1)*MIN(I$1,$A24)+I23</f>
        <v>9730201424.83419</v>
      </c>
      <c r="J24" s="99" t="n">
        <f aca="false">$C24*$G23/'données complémentaires'!$N$5*(1/J$1)*MIN(J$1,$A24)+J23</f>
        <v>8705146564.29083</v>
      </c>
      <c r="K24" s="99" t="n">
        <f aca="false">$C24*$G23/'données complémentaires'!$N$5*(1/K$1)*MIN(K$1,$A24)+K23</f>
        <v>7575853063.02975</v>
      </c>
      <c r="L24" s="99" t="n">
        <f aca="false">$C24*$G23/'données complémentaires'!$N$5*(1/L$1)*MIN(L$1,$A24)+L23</f>
        <v>6366315889.54339</v>
      </c>
    </row>
    <row r="25" customFormat="false" ht="12.8" hidden="false" customHeight="false" outlineLevel="0" collapsed="false">
      <c r="A25" s="0" t="n">
        <v>23</v>
      </c>
      <c r="B25" s="48" t="n">
        <v>2037</v>
      </c>
      <c r="C25" s="95" t="n">
        <f aca="false">C24*(1+D24)</f>
        <v>65451.5130707623</v>
      </c>
      <c r="D25" s="96" t="n">
        <v>0</v>
      </c>
      <c r="E25" s="48" t="n">
        <v>3058.10165736329</v>
      </c>
      <c r="F25" s="48" t="n">
        <f aca="false">C25*E25+F24</f>
        <v>4211092740.89635</v>
      </c>
      <c r="G25" s="97" t="n">
        <v>217985.983263932</v>
      </c>
      <c r="H25" s="98" t="n">
        <f aca="false">G25/'données complémentaires'!$N$5*C25+H24</f>
        <v>11150909237.7576</v>
      </c>
      <c r="I25" s="99" t="n">
        <f aca="false">$C25*$G24/'données complémentaires'!$N$5*(1/I$1)*MIN(I$1,$A25)+I24</f>
        <v>10289944494.7868</v>
      </c>
      <c r="J25" s="99" t="n">
        <f aca="false">$C25*$G24/'données complémentaires'!$N$5*(1/J$1)*MIN(J$1,$A25)+J24</f>
        <v>9264889634.24344</v>
      </c>
      <c r="K25" s="99" t="n">
        <f aca="false">$C25*$G24/'données complémentaires'!$N$5*(1/K$1)*MIN(K$1,$A25)+K24</f>
        <v>8135596132.98235</v>
      </c>
      <c r="L25" s="99" t="n">
        <f aca="false">$C25*$G24/'données complémentaires'!$N$5*(1/L$1)*MIN(L$1,$A25)+L24</f>
        <v>6926058959.49599</v>
      </c>
    </row>
    <row r="26" customFormat="false" ht="12.8" hidden="false" customHeight="false" outlineLevel="0" collapsed="false">
      <c r="A26" s="0" t="n">
        <v>24</v>
      </c>
      <c r="B26" s="0" t="n">
        <v>2038</v>
      </c>
      <c r="C26" s="100" t="n">
        <f aca="false">C25*(1+D25)</f>
        <v>65451.5130707623</v>
      </c>
      <c r="D26" s="4" t="n">
        <v>0</v>
      </c>
      <c r="E26" s="0" t="n">
        <v>3065.25676070703</v>
      </c>
      <c r="F26" s="0" t="n">
        <f aca="false">C26*E26+F25</f>
        <v>4411718433.835</v>
      </c>
      <c r="G26" s="23" t="n">
        <v>219158.827954968</v>
      </c>
      <c r="H26" s="98" t="n">
        <f aca="false">G26/'données complémentaires'!$N$5*C26+H25</f>
        <v>11716560279.6202</v>
      </c>
      <c r="I26" s="99" t="n">
        <f aca="false">$C26*$G25/'données complémentaires'!$N$5*(1/I$1)*MIN(I$1,$A26)+I25</f>
        <v>10852568413.2265</v>
      </c>
      <c r="J26" s="99" t="n">
        <f aca="false">$C26*$G25/'données complémentaires'!$N$5*(1/J$1)*MIN(J$1,$A26)+J25</f>
        <v>9827513552.68314</v>
      </c>
      <c r="K26" s="99" t="n">
        <f aca="false">$C26*$G25/'données complémentaires'!$N$5*(1/K$1)*MIN(K$1,$A26)+K25</f>
        <v>8698220051.42206</v>
      </c>
      <c r="L26" s="99" t="n">
        <f aca="false">$C26*$G25/'données complémentaires'!$N$5*(1/L$1)*MIN(L$1,$A26)+L25</f>
        <v>7488682877.9357</v>
      </c>
    </row>
    <row r="27" customFormat="false" ht="12.8" hidden="false" customHeight="false" outlineLevel="0" collapsed="false">
      <c r="A27" s="0" t="n">
        <v>25</v>
      </c>
      <c r="B27" s="48" t="n">
        <v>2039</v>
      </c>
      <c r="C27" s="95" t="n">
        <f aca="false">C26*(1+D26)</f>
        <v>65451.5130707623</v>
      </c>
      <c r="D27" s="96" t="n">
        <v>0</v>
      </c>
      <c r="E27" s="48" t="n">
        <v>3071.44527841345</v>
      </c>
      <c r="F27" s="48" t="n">
        <f aca="false">C27*E27+F26</f>
        <v>4612749174.62121</v>
      </c>
      <c r="G27" s="97" t="n">
        <v>220097.827815622</v>
      </c>
      <c r="H27" s="98" t="n">
        <f aca="false">G27/'données complémentaires'!$N$5*C27+H26</f>
        <v>12284634889.1503</v>
      </c>
      <c r="I27" s="99" t="n">
        <f aca="false">$C27*$G26/'données complémentaires'!$N$5*(1/I$1)*MIN(I$1,$A27)+I26</f>
        <v>11418219455.0891</v>
      </c>
      <c r="J27" s="99" t="n">
        <f aca="false">$C27*$G26/'données complémentaires'!$N$5*(1/J$1)*MIN(J$1,$A27)+J26</f>
        <v>10393164594.5457</v>
      </c>
      <c r="K27" s="99" t="n">
        <f aca="false">$C27*$G26/'données complémentaires'!$N$5*(1/K$1)*MIN(K$1,$A27)+K26</f>
        <v>9263871093.28461</v>
      </c>
      <c r="L27" s="99" t="n">
        <f aca="false">$C27*$G26/'données complémentaires'!$N$5*(1/L$1)*MIN(L$1,$A27)+L26</f>
        <v>8054333919.79825</v>
      </c>
    </row>
    <row r="28" customFormat="false" ht="12.8" hidden="false" customHeight="false" outlineLevel="0" collapsed="false">
      <c r="A28" s="0" t="n">
        <v>26</v>
      </c>
      <c r="B28" s="0" t="n">
        <v>2040</v>
      </c>
      <c r="C28" s="100" t="n">
        <f aca="false">C27*(1+D27)</f>
        <v>65451.5130707623</v>
      </c>
      <c r="D28" s="4" t="n">
        <v>0</v>
      </c>
      <c r="E28" s="0" t="n">
        <v>3065.26350497382</v>
      </c>
      <c r="F28" s="0" t="n">
        <f aca="false">C28*E28+F27</f>
        <v>4813375308.98234</v>
      </c>
      <c r="G28" s="23" t="n">
        <v>220650.312238224</v>
      </c>
      <c r="H28" s="98" t="n">
        <f aca="false">G28/'données complémentaires'!$N$5*C28+H27</f>
        <v>12854135466.2865</v>
      </c>
      <c r="I28" s="99" t="n">
        <f aca="false">$C28*$G27/'données complémentaires'!$N$5*(1/I$1)*MIN(I$1,$A28)+I27</f>
        <v>11986294064.6192</v>
      </c>
      <c r="J28" s="99" t="n">
        <f aca="false">$C28*$G27/'données complémentaires'!$N$5*(1/J$1)*MIN(J$1,$A28)+J27</f>
        <v>10961239204.0758</v>
      </c>
      <c r="K28" s="99" t="n">
        <f aca="false">$C28*$G27/'données complémentaires'!$N$5*(1/K$1)*MIN(K$1,$A28)+K27</f>
        <v>9831945702.81471</v>
      </c>
      <c r="L28" s="99" t="n">
        <f aca="false">$C28*$G27/'données complémentaires'!$N$5*(1/L$1)*MIN(L$1,$A28)+L27</f>
        <v>8622408529.32835</v>
      </c>
    </row>
    <row r="29" customFormat="false" ht="12.8" hidden="false" customHeight="false" outlineLevel="0" collapsed="false">
      <c r="B29" s="101"/>
      <c r="C29" s="102"/>
      <c r="D29" s="101"/>
      <c r="E29" s="103" t="s">
        <v>110</v>
      </c>
      <c r="F29" s="104" t="n">
        <f aca="false">SUM(F3:F28)</f>
        <v>62503987523.9256</v>
      </c>
      <c r="G29" s="103" t="s">
        <v>110</v>
      </c>
      <c r="H29" s="104" t="n">
        <f aca="false">SUM(H3:H28)</f>
        <v>161309796758.585</v>
      </c>
      <c r="I29" s="105" t="n">
        <f aca="false">SUM(I3:I28)</f>
        <v>140836534701.529</v>
      </c>
      <c r="J29" s="105" t="n">
        <f aca="false">SUM(J3:J28)</f>
        <v>118435425093.765</v>
      </c>
      <c r="K29" s="105" t="n">
        <f aca="false">SUM(K3:K28)</f>
        <v>97643548611.3698</v>
      </c>
      <c r="L29" s="105" t="n">
        <f aca="false">SUM(L3:L28)</f>
        <v>79549708748.1091</v>
      </c>
    </row>
    <row r="30" customFormat="false" ht="12.8" hidden="false" customHeight="false" outlineLevel="0" collapsed="false">
      <c r="B30" s="80"/>
      <c r="C30" s="80"/>
      <c r="D30" s="80"/>
      <c r="E30" s="103" t="s">
        <v>111</v>
      </c>
      <c r="F30" s="104" t="n">
        <f aca="false">F29/25</f>
        <v>2500159500.95703</v>
      </c>
      <c r="G30" s="103" t="s">
        <v>111</v>
      </c>
      <c r="H30" s="104" t="n">
        <f aca="false">H29/25</f>
        <v>6452391870.34341</v>
      </c>
      <c r="I30" s="105" t="n">
        <f aca="false">I29/25</f>
        <v>5633461388.06118</v>
      </c>
      <c r="J30" s="105" t="n">
        <f aca="false">J29/25</f>
        <v>4737417003.75059</v>
      </c>
      <c r="K30" s="105" t="n">
        <f aca="false">K29/25</f>
        <v>3905741944.45479</v>
      </c>
      <c r="L30" s="105" t="n">
        <f aca="false">L29/25</f>
        <v>3181988349.92436</v>
      </c>
    </row>
    <row r="31" customFormat="false" ht="12.8" hidden="false" customHeight="false" outlineLevel="0" collapsed="false">
      <c r="F31" s="0"/>
    </row>
    <row r="32" customFormat="false" ht="12.8" hidden="false" customHeight="false" outlineLevel="0" collapsed="false">
      <c r="F32" s="0"/>
      <c r="G32" s="106" t="s">
        <v>112</v>
      </c>
      <c r="H32" s="107" t="n">
        <f aca="false">'Grilles et calculs individuels'!K72</f>
        <v>164100.097788612</v>
      </c>
    </row>
    <row r="33" customFormat="false" ht="12.8" hidden="false" customHeight="false" outlineLevel="0" collapsed="false">
      <c r="F33" s="0"/>
      <c r="G33" s="106" t="s">
        <v>113</v>
      </c>
      <c r="H33" s="107" t="n">
        <v>2015</v>
      </c>
    </row>
    <row r="37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2.8"/>
  <cols>
    <col collapsed="false" hidden="false" max="1025" min="1" style="0" width="11.5204081632653"/>
  </cols>
  <sheetData>
    <row r="2" customFormat="false" ht="12.8" hidden="false" customHeight="false" outlineLevel="0" collapsed="false">
      <c r="B2" s="0" t="s">
        <v>114</v>
      </c>
    </row>
    <row r="3" customFormat="false" ht="12.8" hidden="false" customHeight="false" outlineLevel="0" collapsed="false">
      <c r="B3" s="0" t="s">
        <v>115</v>
      </c>
    </row>
    <row r="4" customFormat="false" ht="12.8" hidden="false" customHeight="false" outlineLevel="0" collapsed="false">
      <c r="B4" s="0" t="s">
        <v>116</v>
      </c>
    </row>
    <row r="5" customFormat="false" ht="13.4" hidden="false" customHeight="false" outlineLevel="0" collapsed="false">
      <c r="B5" s="0" t="s">
        <v>117</v>
      </c>
    </row>
    <row r="6" customFormat="false" ht="13.4" hidden="false" customHeight="false" outlineLevel="0" collapsed="false">
      <c r="B6" s="0" t="s">
        <v>118</v>
      </c>
    </row>
    <row r="7" customFormat="false" ht="12.8" hidden="false" customHeight="false" outlineLevel="0" collapsed="false">
      <c r="B7" s="0" t="s">
        <v>119</v>
      </c>
    </row>
    <row r="9" customFormat="false" ht="12.8" hidden="false" customHeight="false" outlineLevel="0" collapsed="false">
      <c r="B9" s="0" t="s">
        <v>120</v>
      </c>
    </row>
    <row r="10" customFormat="false" ht="12.8" hidden="false" customHeight="false" outlineLevel="0" collapsed="false">
      <c r="B10" s="0" t="s">
        <v>121</v>
      </c>
    </row>
    <row r="11" customFormat="false" ht="12.8" hidden="false" customHeight="false" outlineLevel="0" collapsed="false">
      <c r="B11" s="0" t="s">
        <v>122</v>
      </c>
    </row>
    <row r="12" customFormat="false" ht="12.8" hidden="false" customHeight="false" outlineLevel="0" collapsed="false">
      <c r="B12" s="0" t="s">
        <v>123</v>
      </c>
    </row>
    <row r="13" customFormat="false" ht="12.8" hidden="false" customHeight="false" outlineLevel="0" collapsed="false">
      <c r="B13" s="0" t="s">
        <v>124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212689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2014-11-10T10:26:10Z</dcterms:created>
  <dc:language>fr-FR</dc:language>
  <dcterms:modified xsi:type="dcterms:W3CDTF">2015-02-04T16:36:20Z</dcterms:modified>
  <cp:revision>402</cp:revision>
</cp:coreProperties>
</file>