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68" activeTab="0"/>
  </bookViews>
  <sheets>
    <sheet name="Grilles et calculs individuels" sheetId="1" r:id="rId1"/>
    <sheet name="données complémentaire" sheetId="2" r:id="rId2"/>
    <sheet name="calculs agirc" sheetId="3" r:id="rId3"/>
    <sheet name="plafond sécu et CNAV" sheetId="4" r:id="rId4"/>
    <sheet name="ARRCO" sheetId="5" r:id="rId5"/>
    <sheet name="Économies dans le temps" sheetId="6" r:id="rId6"/>
  </sheets>
  <definedNames/>
  <calcPr fullCalcOnLoad="1"/>
</workbook>
</file>

<file path=xl/sharedStrings.xml><?xml version="1.0" encoding="utf-8"?>
<sst xmlns="http://schemas.openxmlformats.org/spreadsheetml/2006/main" count="475" uniqueCount="100">
  <si>
    <t>Noter : les enseignants au grand choix (30%)o sont moins pénalisés par rapport à ceux à l'ancienneté (20%)</t>
  </si>
  <si>
    <t>Grille de rémunération institutionnelle</t>
  </si>
  <si>
    <t>années avant la retraite</t>
  </si>
  <si>
    <r>
      <t>catégorie B 2</t>
    </r>
    <r>
      <rPr>
        <vertAlign val="superscript"/>
        <sz val="10"/>
        <rFont val="Arial"/>
        <family val="2"/>
      </rPr>
      <t>e</t>
    </r>
    <r>
      <rPr>
        <sz val="10"/>
        <rFont val="Arial"/>
        <family val="2"/>
      </rPr>
      <t xml:space="preserve"> grade</t>
    </r>
  </si>
  <si>
    <t>ingénieur chef → général</t>
  </si>
  <si>
    <t>prof agrégé (choix)</t>
  </si>
  <si>
    <t>prof certifié</t>
  </si>
  <si>
    <t>brigadier de police</t>
  </si>
  <si>
    <t>adjoin admin principal 2e classe (Cat C service long)</t>
  </si>
  <si>
    <t>adjoin admin principal 2e classe (Cat C service court)</t>
  </si>
  <si>
    <t>professeur des écoles (durée courte)</t>
  </si>
  <si>
    <t>pension régime CNAV nette</t>
  </si>
  <si>
    <t>retraite complémentaire virtuelle</t>
  </si>
  <si>
    <t>retraite nette du privé avec adaptation</t>
  </si>
  <si>
    <t>taux remplacement net COR 2012</t>
  </si>
  <si>
    <t>retraite système actuel sans adaptation</t>
  </si>
  <si>
    <t>retraite selon le privé sans adaptation</t>
  </si>
  <si>
    <t>âge de départ sous le nouveau régime</t>
  </si>
  <si>
    <t>âge de départ sous l'ancien régime</t>
  </si>
  <si>
    <t>taux de prime</t>
  </si>
  <si>
    <t>Poids total</t>
  </si>
  <si>
    <t>poids relatif dans la FPE</t>
  </si>
  <si>
    <t>proportion d'hommes</t>
  </si>
  <si>
    <t>Nombres d'années sous pension</t>
  </si>
  <si>
    <t>Hommes</t>
  </si>
  <si>
    <t>Femmes</t>
  </si>
  <si>
    <t>Montant total reçus en € 2015</t>
  </si>
  <si>
    <t>Montant des engagements selon le public</t>
  </si>
  <si>
    <t>Montant total pondéré</t>
  </si>
  <si>
    <t>Montant total selon le privé</t>
  </si>
  <si>
    <t>Montant des engagements selon le privé</t>
  </si>
  <si>
    <t>Montant théorique pondéré</t>
  </si>
  <si>
    <t>Économies par personne :</t>
  </si>
  <si>
    <t>En pourcentages :</t>
  </si>
  <si>
    <t>les retraites sont revalorisées à la même vitesse que l'inflation</t>
  </si>
  <si>
    <t>l'espérance de vie est supposée constante (hypothèse très forte)</t>
  </si>
  <si>
    <t>basculement rétroactif des agents de la fonction publique sur les caisses de privé indépendamment des cotisations passées</t>
  </si>
  <si>
    <t>La FPE est découpée en 8 cas types stylisés distincts avec leur pondération.</t>
  </si>
  <si>
    <t>Les taux de cotisations retraite sont supposé être les mêmes dans le privé. Pour ceux qui ont des objection, les salariés du privé cotisent au total pour la retraite et le chômage à un taux identique que le retraite des fonctionnaires. Ceux-ci paient donc une assurance pour la non-activité</t>
  </si>
  <si>
    <t>Les cotisations employeur (état) sont considérées identiques à celles du privé pour un salaire équivalent. L'état peut donc se rembourser sur le trop perçu.</t>
  </si>
  <si>
    <t>Seul le brut est pris en compte, les primes vont à la RAFP qui est un circuit d'argent indépendant de l'état. On se place ici dans une optique d'économies budgétaires.</t>
  </si>
  <si>
    <t>Comment interpréter les résultats ?</t>
  </si>
  <si>
    <t>ignore la poste et france télécoms</t>
  </si>
  <si>
    <t>données agirc</t>
  </si>
  <si>
    <t>indice de rémunération dans la fonction publique</t>
  </si>
  <si>
    <t>année</t>
  </si>
  <si>
    <t>salaire de ref en €</t>
  </si>
  <si>
    <t>évolution</t>
  </si>
  <si>
    <t>taux d'acquisition</t>
  </si>
  <si>
    <t>taux indiciaire annuel</t>
  </si>
  <si>
    <t>taux mensuel</t>
  </si>
  <si>
    <t>évolution annuelle</t>
  </si>
  <si>
    <t>espérance de vie à 60 ans</t>
  </si>
  <si>
    <t>femmes</t>
  </si>
  <si>
    <t>hommes</t>
  </si>
  <si>
    <t>espérance moyenne</t>
  </si>
  <si>
    <t>année avant la retraite</t>
  </si>
  <si>
    <t>ingénieur général</t>
  </si>
  <si>
    <t>brigadier de police municipale</t>
  </si>
  <si>
    <t>adjoint admin principal 2e classe (Cat C service long)</t>
  </si>
  <si>
    <t>adjoint admin principal 2e classe (Cat C service court)</t>
  </si>
  <si>
    <t>non éligible</t>
  </si>
  <si>
    <t>TOTAL POINTS AGIRC</t>
  </si>
  <si>
    <t>Retraite agirc (en € 2014)</t>
  </si>
  <si>
    <t>Lecture du tableau :</t>
  </si>
  <si>
    <t>Seuls les agents de catégorie A cotisent à l'AGIRC</t>
  </si>
  <si>
    <t>Les cotisations à l'AGRIC sont égales à 16 % de la part ud salaire au dessus du plafond de la sécu. Le montant des cotisations est donc non linéaires pour les fonctionnaires</t>
  </si>
  <si>
    <t>EN réalité on assiste à une sorte de course entre la valeur de plafond de la sécu, l'avancement à l'ancienneté et la revalorisation du point d'indice</t>
  </si>
  <si>
    <t>Le cas des années 2010 à 2014 est très révélateur : les agents sont tous à leur échelon maximum et le point d'indice est gelé tandis que le plafond progresse</t>
  </si>
  <si>
    <t>Il en résulte une baisse significative du nombre de points acquis pendant cette période</t>
  </si>
  <si>
    <t>plafond sécu</t>
  </si>
  <si>
    <t>CNAV</t>
  </si>
  <si>
    <t>date</t>
  </si>
  <si>
    <t>annuel</t>
  </si>
  <si>
    <t>mensuel</t>
  </si>
  <si>
    <t>coeff de revalorisation</t>
  </si>
  <si>
    <t>Pension CNAV</t>
  </si>
  <si>
    <t>ARRCO tranche 1/A</t>
  </si>
  <si>
    <t>taux tranche 1 :</t>
  </si>
  <si>
    <t>salaire de référence arrco</t>
  </si>
  <si>
    <t>valeur du point</t>
  </si>
  <si>
    <t>TOTAL POINTS tranche 1</t>
  </si>
  <si>
    <t>ARRCO tranche 2</t>
  </si>
  <si>
    <t>taux tranche 2 :</t>
  </si>
  <si>
    <t>TOTAL POINTS tranche 2</t>
  </si>
  <si>
    <t>TOTAL ARRCO</t>
  </si>
  <si>
    <t>PENSION ARRCO</t>
  </si>
  <si>
    <t>convergence</t>
  </si>
  <si>
    <t>nombre de départ à la retraite pour l'année</t>
  </si>
  <si>
    <t>taux de progression</t>
  </si>
  <si>
    <t>nombre de retraités avec calcul aligné</t>
  </si>
  <si>
    <t>économies par an</t>
  </si>
  <si>
    <t>économies par an avec convergence en 5 ans</t>
  </si>
  <si>
    <t>économies par ans avec convergence en 10 ans</t>
  </si>
  <si>
    <t xml:space="preserve">convergence en 15 ans </t>
  </si>
  <si>
    <t>convergence en 20 ans</t>
  </si>
  <si>
    <t>Total 25 ans</t>
  </si>
  <si>
    <t>Moyenne par ans</t>
  </si>
  <si>
    <t>économie par personne sur la durée complète de la retraite</t>
  </si>
  <si>
    <t>économie par personne sur 1 an</t>
  </si>
</sst>
</file>

<file path=xl/styles.xml><?xml version="1.0" encoding="utf-8"?>
<styleSheet xmlns="http://schemas.openxmlformats.org/spreadsheetml/2006/main">
  <numFmts count="8">
    <numFmt numFmtId="164" formatCode="GENERAL"/>
    <numFmt numFmtId="165" formatCode="0.00"/>
    <numFmt numFmtId="166" formatCode="0.00%"/>
    <numFmt numFmtId="167" formatCode="#,##0.00"/>
    <numFmt numFmtId="168" formatCode="0.0000"/>
    <numFmt numFmtId="169" formatCode="#,##0"/>
    <numFmt numFmtId="170" formatCode="0"/>
    <numFmt numFmtId="171" formatCode="DD/MM/YY"/>
  </numFmts>
  <fonts count="4">
    <font>
      <sz val="10"/>
      <name val="Arial"/>
      <family val="2"/>
    </font>
    <font>
      <sz val="10"/>
      <name val="Mangal"/>
      <family val="2"/>
    </font>
    <font>
      <vertAlign val="superscript"/>
      <sz val="10"/>
      <name val="Arial"/>
      <family val="2"/>
    </font>
    <font>
      <b/>
      <sz val="10"/>
      <name val="Arial"/>
      <family val="2"/>
    </font>
  </fonts>
  <fills count="6">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8"/>
        <bgColor indexed="64"/>
      </patternFill>
    </fill>
    <fill>
      <patternFill patternType="solid">
        <fgColor indexed="31"/>
        <bgColor indexed="64"/>
      </patternFill>
    </fill>
  </fills>
  <borders count="1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s>
  <cellStyleXfs count="26">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horizontal="left"/>
    </xf>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Protection="0">
      <alignment horizontal="left"/>
    </xf>
    <xf numFmtId="164" fontId="1" fillId="0" borderId="0" applyNumberFormat="0" applyFill="0" applyBorder="0" applyAlignment="0" applyProtection="0"/>
  </cellStyleXfs>
  <cellXfs count="76">
    <xf numFmtId="164" fontId="0" fillId="0" borderId="0" xfId="0" applyAlignment="1">
      <alignment/>
    </xf>
    <xf numFmtId="165" fontId="0" fillId="0" borderId="0" xfId="0" applyNumberFormat="1" applyAlignment="1">
      <alignment/>
    </xf>
    <xf numFmtId="164" fontId="0" fillId="0" borderId="0" xfId="0" applyFont="1" applyBorder="1" applyAlignment="1">
      <alignment horizontal="left" vertical="center"/>
    </xf>
    <xf numFmtId="164" fontId="0" fillId="0" borderId="1" xfId="0" applyFont="1" applyBorder="1" applyAlignment="1">
      <alignment/>
    </xf>
    <xf numFmtId="165" fontId="0" fillId="0" borderId="1" xfId="0" applyNumberFormat="1" applyFont="1" applyBorder="1" applyAlignment="1">
      <alignment/>
    </xf>
    <xf numFmtId="166" fontId="0" fillId="0" borderId="0" xfId="0" applyNumberFormat="1" applyAlignment="1">
      <alignment/>
    </xf>
    <xf numFmtId="164" fontId="0" fillId="0" borderId="2" xfId="0" applyFill="1" applyBorder="1" applyAlignment="1">
      <alignment/>
    </xf>
    <xf numFmtId="164" fontId="0" fillId="2" borderId="2" xfId="0" applyFill="1" applyBorder="1" applyAlignment="1">
      <alignment/>
    </xf>
    <xf numFmtId="165" fontId="0" fillId="2" borderId="2" xfId="0" applyNumberFormat="1" applyFill="1" applyBorder="1" applyAlignment="1">
      <alignment/>
    </xf>
    <xf numFmtId="165" fontId="0" fillId="0" borderId="2" xfId="0" applyNumberFormat="1" applyFill="1" applyBorder="1" applyAlignment="1">
      <alignment/>
    </xf>
    <xf numFmtId="164" fontId="0" fillId="0" borderId="2" xfId="0" applyBorder="1" applyAlignment="1">
      <alignment/>
    </xf>
    <xf numFmtId="165" fontId="0" fillId="0" borderId="2" xfId="0" applyNumberFormat="1" applyBorder="1" applyAlignment="1">
      <alignment/>
    </xf>
    <xf numFmtId="164" fontId="0" fillId="0" borderId="3" xfId="0" applyBorder="1" applyAlignment="1">
      <alignment/>
    </xf>
    <xf numFmtId="164" fontId="0" fillId="2" borderId="1" xfId="0" applyFont="1" applyFill="1" applyBorder="1" applyAlignment="1">
      <alignment/>
    </xf>
    <xf numFmtId="165" fontId="0" fillId="2" borderId="1" xfId="0" applyNumberFormat="1" applyFill="1" applyBorder="1" applyAlignment="1">
      <alignment/>
    </xf>
    <xf numFmtId="164" fontId="0" fillId="0" borderId="4" xfId="0" applyFont="1" applyFill="1" applyBorder="1" applyAlignment="1">
      <alignment/>
    </xf>
    <xf numFmtId="164" fontId="0" fillId="3" borderId="4" xfId="0" applyFont="1" applyFill="1" applyBorder="1" applyAlignment="1">
      <alignment/>
    </xf>
    <xf numFmtId="167" fontId="0" fillId="3" borderId="1" xfId="0" applyNumberFormat="1" applyFont="1" applyFill="1" applyBorder="1" applyAlignment="1">
      <alignment/>
    </xf>
    <xf numFmtId="165" fontId="0" fillId="0" borderId="1" xfId="0" applyNumberFormat="1" applyFill="1" applyBorder="1" applyAlignment="1">
      <alignment/>
    </xf>
    <xf numFmtId="164" fontId="0" fillId="3" borderId="1" xfId="0" applyFont="1" applyFill="1" applyBorder="1" applyAlignment="1">
      <alignment/>
    </xf>
    <xf numFmtId="165" fontId="0" fillId="3" borderId="1" xfId="0" applyNumberFormat="1" applyFill="1" applyBorder="1" applyAlignment="1">
      <alignment/>
    </xf>
    <xf numFmtId="164" fontId="0" fillId="0" borderId="1" xfId="0" applyFont="1" applyFill="1" applyBorder="1" applyAlignment="1">
      <alignment/>
    </xf>
    <xf numFmtId="166" fontId="0" fillId="0" borderId="1" xfId="0" applyNumberFormat="1" applyFill="1" applyBorder="1" applyAlignment="1">
      <alignment/>
    </xf>
    <xf numFmtId="166" fontId="0" fillId="0" borderId="1" xfId="0" applyNumberFormat="1" applyBorder="1" applyAlignment="1">
      <alignment wrapText="1"/>
    </xf>
    <xf numFmtId="166" fontId="0" fillId="0" borderId="1" xfId="0" applyNumberFormat="1" applyFill="1" applyBorder="1" applyAlignment="1">
      <alignment wrapText="1"/>
    </xf>
    <xf numFmtId="164" fontId="3" fillId="0" borderId="0" xfId="0" applyFont="1" applyAlignment="1">
      <alignment/>
    </xf>
    <xf numFmtId="164" fontId="0" fillId="4" borderId="0" xfId="0" applyFill="1" applyAlignment="1">
      <alignment/>
    </xf>
    <xf numFmtId="164" fontId="0" fillId="3" borderId="0" xfId="0" applyFont="1" applyFill="1" applyAlignment="1">
      <alignment/>
    </xf>
    <xf numFmtId="167" fontId="0" fillId="3" borderId="0" xfId="0" applyNumberFormat="1" applyFill="1" applyAlignment="1">
      <alignment/>
    </xf>
    <xf numFmtId="164" fontId="0" fillId="5" borderId="0" xfId="0" applyFont="1" applyFill="1" applyAlignment="1">
      <alignment/>
    </xf>
    <xf numFmtId="165" fontId="0" fillId="5" borderId="0" xfId="0" applyNumberFormat="1" applyFill="1" applyAlignment="1">
      <alignment/>
    </xf>
    <xf numFmtId="164" fontId="0" fillId="2" borderId="0" xfId="0" applyFont="1" applyFill="1" applyAlignment="1">
      <alignment/>
    </xf>
    <xf numFmtId="167" fontId="0" fillId="2" borderId="0" xfId="0" applyNumberFormat="1" applyFill="1" applyAlignment="1">
      <alignment/>
    </xf>
    <xf numFmtId="164" fontId="3" fillId="0" borderId="0" xfId="0" applyFont="1" applyAlignment="1">
      <alignment horizontal="right"/>
    </xf>
    <xf numFmtId="167" fontId="0" fillId="0" borderId="0" xfId="0" applyNumberFormat="1" applyAlignment="1">
      <alignment/>
    </xf>
    <xf numFmtId="168" fontId="0" fillId="0" borderId="0" xfId="0" applyNumberFormat="1" applyAlignment="1">
      <alignment/>
    </xf>
    <xf numFmtId="164" fontId="0" fillId="0" borderId="5" xfId="0" applyFont="1" applyBorder="1" applyAlignment="1">
      <alignment/>
    </xf>
    <xf numFmtId="164" fontId="0" fillId="0" borderId="6" xfId="0" applyFont="1" applyBorder="1" applyAlignment="1">
      <alignment/>
    </xf>
    <xf numFmtId="164" fontId="0" fillId="0" borderId="7" xfId="0" applyFont="1" applyBorder="1" applyAlignment="1">
      <alignment/>
    </xf>
    <xf numFmtId="168" fontId="0" fillId="0" borderId="5" xfId="0" applyNumberFormat="1" applyFont="1" applyBorder="1" applyAlignment="1">
      <alignment/>
    </xf>
    <xf numFmtId="168" fontId="0" fillId="0" borderId="6" xfId="0" applyNumberFormat="1" applyFont="1" applyBorder="1" applyAlignment="1">
      <alignment/>
    </xf>
    <xf numFmtId="164" fontId="0" fillId="0" borderId="8" xfId="0" applyBorder="1" applyAlignment="1">
      <alignment/>
    </xf>
    <xf numFmtId="166" fontId="0" fillId="0" borderId="3" xfId="0" applyNumberFormat="1" applyBorder="1" applyAlignment="1">
      <alignment/>
    </xf>
    <xf numFmtId="168" fontId="0" fillId="0" borderId="8" xfId="0" applyNumberFormat="1" applyBorder="1" applyAlignment="1">
      <alignment/>
    </xf>
    <xf numFmtId="164" fontId="0" fillId="0" borderId="0" xfId="0" applyNumberFormat="1" applyAlignment="1">
      <alignment/>
    </xf>
    <xf numFmtId="168" fontId="0" fillId="0" borderId="8" xfId="0" applyNumberFormat="1" applyFill="1" applyBorder="1" applyAlignment="1">
      <alignment/>
    </xf>
    <xf numFmtId="164" fontId="0" fillId="0" borderId="4" xfId="0" applyBorder="1" applyAlignment="1">
      <alignment/>
    </xf>
    <xf numFmtId="165" fontId="0" fillId="0" borderId="9" xfId="0" applyNumberFormat="1" applyBorder="1" applyAlignment="1">
      <alignment/>
    </xf>
    <xf numFmtId="166" fontId="0" fillId="0" borderId="9" xfId="0" applyNumberFormat="1" applyBorder="1" applyAlignment="1">
      <alignment/>
    </xf>
    <xf numFmtId="164" fontId="0" fillId="0" borderId="10" xfId="0" applyBorder="1" applyAlignment="1">
      <alignment/>
    </xf>
    <xf numFmtId="168" fontId="0" fillId="0" borderId="11" xfId="0" applyNumberFormat="1" applyBorder="1" applyAlignment="1">
      <alignment/>
    </xf>
    <xf numFmtId="164" fontId="0" fillId="0" borderId="9" xfId="0" applyBorder="1" applyAlignment="1">
      <alignment/>
    </xf>
    <xf numFmtId="166" fontId="0" fillId="0" borderId="10" xfId="0" applyNumberFormat="1" applyBorder="1" applyAlignment="1">
      <alignment/>
    </xf>
    <xf numFmtId="169" fontId="0" fillId="0" borderId="0" xfId="0" applyNumberFormat="1" applyAlignment="1">
      <alignment/>
    </xf>
    <xf numFmtId="169" fontId="0" fillId="0" borderId="1" xfId="0" applyNumberFormat="1" applyFont="1" applyBorder="1" applyAlignment="1">
      <alignment/>
    </xf>
    <xf numFmtId="169" fontId="0" fillId="0" borderId="12" xfId="0" applyNumberFormat="1" applyBorder="1" applyAlignment="1">
      <alignment/>
    </xf>
    <xf numFmtId="169" fontId="0" fillId="0" borderId="4" xfId="0" applyNumberFormat="1" applyBorder="1" applyAlignment="1">
      <alignment/>
    </xf>
    <xf numFmtId="170" fontId="0" fillId="0" borderId="0" xfId="0" applyNumberFormat="1" applyAlignment="1">
      <alignment/>
    </xf>
    <xf numFmtId="171" fontId="0" fillId="0" borderId="0" xfId="0" applyNumberFormat="1" applyAlignment="1">
      <alignment/>
    </xf>
    <xf numFmtId="165" fontId="0" fillId="0" borderId="12" xfId="0" applyNumberFormat="1" applyBorder="1" applyAlignment="1">
      <alignment/>
    </xf>
    <xf numFmtId="170" fontId="0" fillId="0" borderId="0" xfId="0" applyNumberFormat="1" applyFont="1" applyAlignment="1">
      <alignment horizontal="right"/>
    </xf>
    <xf numFmtId="170" fontId="0" fillId="0" borderId="1" xfId="0" applyNumberFormat="1" applyFont="1" applyBorder="1" applyAlignment="1">
      <alignment/>
    </xf>
    <xf numFmtId="170" fontId="0" fillId="0" borderId="0" xfId="0" applyNumberFormat="1" applyFont="1" applyBorder="1" applyAlignment="1">
      <alignment/>
    </xf>
    <xf numFmtId="164" fontId="0" fillId="0" borderId="13" xfId="0" applyFont="1" applyBorder="1" applyAlignment="1">
      <alignment/>
    </xf>
    <xf numFmtId="164" fontId="0" fillId="0" borderId="14" xfId="0" applyFont="1" applyBorder="1" applyAlignment="1">
      <alignment/>
    </xf>
    <xf numFmtId="167" fontId="0" fillId="0" borderId="14" xfId="0" applyNumberFormat="1" applyFont="1" applyBorder="1" applyAlignment="1">
      <alignment/>
    </xf>
    <xf numFmtId="164" fontId="0" fillId="0" borderId="15" xfId="0" applyFont="1" applyBorder="1" applyAlignment="1">
      <alignment/>
    </xf>
    <xf numFmtId="169" fontId="0" fillId="0" borderId="2" xfId="0" applyNumberFormat="1" applyBorder="1" applyAlignment="1">
      <alignment/>
    </xf>
    <xf numFmtId="166" fontId="0" fillId="0" borderId="2" xfId="0" applyNumberFormat="1" applyBorder="1" applyAlignment="1">
      <alignment/>
    </xf>
    <xf numFmtId="167" fontId="0" fillId="0" borderId="2" xfId="0" applyNumberFormat="1" applyBorder="1" applyAlignment="1">
      <alignment/>
    </xf>
    <xf numFmtId="167" fontId="0" fillId="0" borderId="16" xfId="0" applyNumberFormat="1" applyFont="1" applyBorder="1" applyAlignment="1">
      <alignment/>
    </xf>
    <xf numFmtId="167" fontId="0" fillId="0" borderId="17" xfId="0" applyNumberFormat="1" applyFont="1" applyBorder="1" applyAlignment="1">
      <alignment/>
    </xf>
    <xf numFmtId="164" fontId="0" fillId="4" borderId="4" xfId="0" applyFill="1" applyBorder="1" applyAlignment="1">
      <alignment/>
    </xf>
    <xf numFmtId="169" fontId="0" fillId="4" borderId="4" xfId="0" applyNumberFormat="1" applyFill="1" applyBorder="1" applyAlignment="1">
      <alignment/>
    </xf>
    <xf numFmtId="164" fontId="3" fillId="2" borderId="1" xfId="0" applyFont="1" applyFill="1" applyBorder="1" applyAlignment="1">
      <alignment/>
    </xf>
    <xf numFmtId="167" fontId="3" fillId="2" borderId="1" xfId="0" applyNumberFormat="1" applyFont="1" applyFill="1" applyBorder="1" applyAlignment="1">
      <alignment/>
    </xf>
  </cellXfs>
  <cellStyles count="12">
    <cellStyle name="Normal" xfId="0"/>
    <cellStyle name="Comma" xfId="15"/>
    <cellStyle name="Comma [0]" xfId="16"/>
    <cellStyle name="Currency" xfId="17"/>
    <cellStyle name="Currency [0]" xfId="18"/>
    <cellStyle name="Percent" xfId="19"/>
    <cellStyle name="Table du pilote - Catégorie" xfId="20"/>
    <cellStyle name="Table du pilote - Champ" xfId="21"/>
    <cellStyle name="Table du pilote - Coin" xfId="22"/>
    <cellStyle name="Table du pilote - Résultat" xfId="23"/>
    <cellStyle name="Table du pilote - Titre" xfId="24"/>
    <cellStyle name="Table du pilote - Valeur"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W75"/>
  <sheetViews>
    <sheetView tabSelected="1" workbookViewId="0" topLeftCell="A46">
      <selection activeCell="I74" sqref="I74"/>
    </sheetView>
  </sheetViews>
  <sheetFormatPr defaultColWidth="11.421875" defaultRowHeight="12.75" customHeight="1"/>
  <cols>
    <col min="1" max="1" width="20.00390625" style="0" customWidth="1"/>
    <col min="2" max="2" width="33.8515625" style="0" customWidth="1"/>
    <col min="3" max="3" width="16.00390625" style="0" customWidth="1"/>
    <col min="4" max="4" width="15.421875" style="1" customWidth="1"/>
    <col min="5" max="5" width="13.7109375" style="0" customWidth="1"/>
    <col min="6" max="6" width="11.57421875" style="0" customWidth="1"/>
    <col min="7" max="7" width="25.7109375" style="0" customWidth="1"/>
    <col min="8" max="9" width="11.57421875" style="0" customWidth="1"/>
    <col min="10" max="10" width="33.7109375" style="0" customWidth="1"/>
    <col min="11" max="11" width="38.8515625" style="0" customWidth="1"/>
    <col min="12" max="12" width="11.57421875" style="0" customWidth="1"/>
    <col min="13" max="13" width="15.28125" style="0" customWidth="1"/>
    <col min="14" max="16384" width="11.57421875" style="0" customWidth="1"/>
  </cols>
  <sheetData>
    <row r="2" spans="5:7" ht="12.75" customHeight="1">
      <c r="E2" s="2" t="s">
        <v>0</v>
      </c>
      <c r="F2" s="2"/>
      <c r="G2" s="2"/>
    </row>
    <row r="3" spans="1:18" ht="12.75" customHeight="1">
      <c r="A3" t="s">
        <v>1</v>
      </c>
      <c r="B3" s="3" t="s">
        <v>2</v>
      </c>
      <c r="C3" s="3" t="s">
        <v>3</v>
      </c>
      <c r="D3" s="4" t="s">
        <v>4</v>
      </c>
      <c r="E3" s="3" t="s">
        <v>5</v>
      </c>
      <c r="F3" s="3" t="s">
        <v>6</v>
      </c>
      <c r="G3" s="3" t="s">
        <v>7</v>
      </c>
      <c r="H3" s="3" t="s">
        <v>8</v>
      </c>
      <c r="I3" s="3" t="s">
        <v>9</v>
      </c>
      <c r="J3" s="3" t="s">
        <v>10</v>
      </c>
      <c r="Q3" s="5"/>
      <c r="R3" s="5"/>
    </row>
    <row r="4" spans="2:18" ht="12.75" customHeight="1">
      <c r="B4" s="6">
        <v>0</v>
      </c>
      <c r="C4" s="7">
        <v>2384.6</v>
      </c>
      <c r="D4" s="8">
        <v>5389.66</v>
      </c>
      <c r="E4" s="7">
        <v>3801.47</v>
      </c>
      <c r="F4" s="7">
        <v>3046.73</v>
      </c>
      <c r="G4" s="7">
        <v>1861.38</v>
      </c>
      <c r="H4" s="7">
        <v>1861.38</v>
      </c>
      <c r="I4" s="7">
        <v>1861.38</v>
      </c>
      <c r="J4" s="7">
        <v>3046.73</v>
      </c>
      <c r="Q4" s="5"/>
      <c r="R4" s="5"/>
    </row>
    <row r="5" spans="2:18" ht="12.75" customHeight="1">
      <c r="B5" s="6">
        <v>1</v>
      </c>
      <c r="C5" s="7">
        <v>2384.6</v>
      </c>
      <c r="D5" s="8">
        <v>5389.66</v>
      </c>
      <c r="E5" s="7">
        <v>3801.47</v>
      </c>
      <c r="F5" s="7">
        <v>3046.73</v>
      </c>
      <c r="G5" s="7">
        <v>1861.38</v>
      </c>
      <c r="H5" s="7">
        <v>1861.38</v>
      </c>
      <c r="I5" s="7">
        <v>1861.38</v>
      </c>
      <c r="J5" s="7">
        <v>3046.73</v>
      </c>
      <c r="Q5" s="5"/>
      <c r="R5" s="5"/>
    </row>
    <row r="6" spans="2:18" ht="12.75" customHeight="1">
      <c r="B6" s="6">
        <v>2</v>
      </c>
      <c r="C6" s="7">
        <v>2384.6</v>
      </c>
      <c r="D6" s="8">
        <v>5389.66</v>
      </c>
      <c r="E6" s="7">
        <v>3801.47</v>
      </c>
      <c r="F6" s="7">
        <v>3046.73</v>
      </c>
      <c r="G6" s="7">
        <v>1861.38</v>
      </c>
      <c r="H6" s="7">
        <v>1861.38</v>
      </c>
      <c r="I6" s="7">
        <v>1861.38</v>
      </c>
      <c r="J6" s="7">
        <v>3046.73</v>
      </c>
      <c r="Q6" s="5"/>
      <c r="R6" s="5"/>
    </row>
    <row r="7" spans="2:18" ht="12.75" customHeight="1">
      <c r="B7" s="6">
        <v>3</v>
      </c>
      <c r="C7" s="7">
        <v>2384.6</v>
      </c>
      <c r="D7" s="8">
        <v>5389.66</v>
      </c>
      <c r="E7" s="7">
        <v>3801.47</v>
      </c>
      <c r="F7" s="7">
        <v>3046.73</v>
      </c>
      <c r="G7" s="7">
        <v>1861.38</v>
      </c>
      <c r="H7" s="7">
        <v>1861.38</v>
      </c>
      <c r="I7" s="7">
        <v>1861.38</v>
      </c>
      <c r="J7" s="7">
        <v>3046.73</v>
      </c>
      <c r="Q7" s="5"/>
      <c r="R7" s="5"/>
    </row>
    <row r="8" spans="2:18" ht="12.75" customHeight="1">
      <c r="B8" s="6">
        <v>4</v>
      </c>
      <c r="C8" s="7">
        <v>2384.6</v>
      </c>
      <c r="D8" s="8">
        <v>5389.66</v>
      </c>
      <c r="E8" s="7">
        <v>3801.47</v>
      </c>
      <c r="F8" s="7">
        <v>3046.73</v>
      </c>
      <c r="G8" s="7">
        <v>1861.38</v>
      </c>
      <c r="H8" s="7">
        <v>1861.38</v>
      </c>
      <c r="I8" s="7">
        <v>1861.38</v>
      </c>
      <c r="J8" s="7">
        <v>3046.73</v>
      </c>
      <c r="Q8" s="5"/>
      <c r="R8" s="5"/>
    </row>
    <row r="9" spans="2:18" ht="12.75" customHeight="1">
      <c r="B9" s="6">
        <v>5</v>
      </c>
      <c r="C9" s="7">
        <v>2384.6</v>
      </c>
      <c r="D9" s="8">
        <v>5389.66</v>
      </c>
      <c r="E9" s="7">
        <v>3801.47</v>
      </c>
      <c r="F9" s="7">
        <v>3046.73</v>
      </c>
      <c r="G9" s="7">
        <v>1861.38</v>
      </c>
      <c r="H9" s="7">
        <v>1861.38</v>
      </c>
      <c r="I9" s="7">
        <v>1861.38</v>
      </c>
      <c r="J9" s="7">
        <v>3046.73</v>
      </c>
      <c r="Q9" s="5"/>
      <c r="R9" s="5"/>
    </row>
    <row r="10" spans="2:18" ht="12.75" customHeight="1">
      <c r="B10" s="6">
        <v>6</v>
      </c>
      <c r="C10" s="7">
        <v>2384.6</v>
      </c>
      <c r="D10" s="8">
        <v>5389.66</v>
      </c>
      <c r="E10" s="7">
        <v>3801.47</v>
      </c>
      <c r="F10" s="7">
        <v>3046.73</v>
      </c>
      <c r="G10" s="7">
        <v>1861.38</v>
      </c>
      <c r="H10" s="7">
        <v>1861.38</v>
      </c>
      <c r="I10" s="7">
        <v>1861.38</v>
      </c>
      <c r="J10" s="7">
        <v>3046.73</v>
      </c>
      <c r="Q10" s="5"/>
      <c r="R10" s="5"/>
    </row>
    <row r="11" spans="2:18" ht="12.75" customHeight="1">
      <c r="B11" s="6">
        <v>7</v>
      </c>
      <c r="C11" s="7">
        <v>2384.6</v>
      </c>
      <c r="D11" s="8">
        <v>5389.66</v>
      </c>
      <c r="E11" s="7">
        <v>3801.47</v>
      </c>
      <c r="F11" s="7">
        <v>3046.73</v>
      </c>
      <c r="G11" s="7">
        <v>1861.38</v>
      </c>
      <c r="H11" s="7">
        <v>1861.38</v>
      </c>
      <c r="I11" s="7">
        <v>1861.38</v>
      </c>
      <c r="J11" s="7">
        <v>3046.73</v>
      </c>
      <c r="Q11" s="5"/>
      <c r="R11" s="5"/>
    </row>
    <row r="12" spans="2:18" ht="12.75" customHeight="1">
      <c r="B12" s="6">
        <v>8</v>
      </c>
      <c r="C12" s="7">
        <v>2384.6</v>
      </c>
      <c r="D12" s="8">
        <v>5389.66</v>
      </c>
      <c r="E12" s="7">
        <v>3801.47</v>
      </c>
      <c r="F12" s="7">
        <v>3046.73</v>
      </c>
      <c r="G12" s="7">
        <v>1861.38</v>
      </c>
      <c r="H12" s="7">
        <v>1861.38</v>
      </c>
      <c r="I12" s="7">
        <v>1861.38</v>
      </c>
      <c r="J12" s="7">
        <v>3046.73</v>
      </c>
      <c r="Q12" s="5"/>
      <c r="R12" s="5"/>
    </row>
    <row r="13" spans="2:18" ht="12.75" customHeight="1">
      <c r="B13" s="6">
        <v>9</v>
      </c>
      <c r="C13" s="7">
        <v>2384.6</v>
      </c>
      <c r="D13" s="8">
        <v>5389.66</v>
      </c>
      <c r="E13" s="7">
        <v>3801.47</v>
      </c>
      <c r="F13" s="7">
        <v>3046.73</v>
      </c>
      <c r="G13" s="7">
        <v>1861.38</v>
      </c>
      <c r="H13" s="7">
        <v>1861.38</v>
      </c>
      <c r="I13" s="7">
        <v>1861.38</v>
      </c>
      <c r="J13" s="7">
        <v>3046.73</v>
      </c>
      <c r="Q13" s="5"/>
      <c r="R13" s="5"/>
    </row>
    <row r="14" spans="2:18" ht="12.75" customHeight="1">
      <c r="B14" s="6">
        <v>10</v>
      </c>
      <c r="C14" s="7">
        <v>2384.6</v>
      </c>
      <c r="D14" s="8">
        <v>5389.66</v>
      </c>
      <c r="E14" s="7">
        <v>3801.47</v>
      </c>
      <c r="F14" s="7">
        <v>3046.73</v>
      </c>
      <c r="G14" s="7">
        <v>1861.38</v>
      </c>
      <c r="H14" s="7">
        <v>1861.38</v>
      </c>
      <c r="I14" s="7">
        <v>1819.7</v>
      </c>
      <c r="J14" s="7">
        <v>2833.74</v>
      </c>
      <c r="Q14" s="5"/>
      <c r="R14" s="5"/>
    </row>
    <row r="15" spans="2:23" ht="12.75" customHeight="1">
      <c r="B15" s="6">
        <v>11</v>
      </c>
      <c r="C15" s="7">
        <v>2273.47</v>
      </c>
      <c r="D15" s="8">
        <v>5273.9</v>
      </c>
      <c r="E15" s="7">
        <v>3801.47</v>
      </c>
      <c r="F15" s="7">
        <v>3046.73</v>
      </c>
      <c r="G15" s="7">
        <v>1861.38</v>
      </c>
      <c r="H15" s="7">
        <v>1861.38</v>
      </c>
      <c r="I15" s="7">
        <v>1819.7</v>
      </c>
      <c r="J15" s="7">
        <v>2833.74</v>
      </c>
      <c r="Q15" s="5"/>
      <c r="R15" s="5"/>
      <c r="W15" s="5"/>
    </row>
    <row r="16" spans="2:23" ht="12.75" customHeight="1">
      <c r="B16" s="6">
        <v>12</v>
      </c>
      <c r="C16" s="7">
        <v>2273.47</v>
      </c>
      <c r="D16" s="8">
        <v>5273.9</v>
      </c>
      <c r="E16" s="7">
        <v>3801.47</v>
      </c>
      <c r="F16" s="7">
        <v>3046.73</v>
      </c>
      <c r="G16" s="7">
        <v>1861.38</v>
      </c>
      <c r="H16" s="7">
        <v>1861.38</v>
      </c>
      <c r="I16" s="7">
        <v>1819.7</v>
      </c>
      <c r="J16" s="7">
        <v>2833.74</v>
      </c>
      <c r="Q16" s="5"/>
      <c r="R16" s="5"/>
      <c r="W16" s="5"/>
    </row>
    <row r="17" spans="2:23" ht="12.75" customHeight="1">
      <c r="B17" s="6">
        <v>13</v>
      </c>
      <c r="C17" s="7">
        <v>2273.47</v>
      </c>
      <c r="D17" s="8">
        <v>5273.9</v>
      </c>
      <c r="E17" s="7">
        <v>3801.47</v>
      </c>
      <c r="F17" s="7">
        <v>3046.73</v>
      </c>
      <c r="G17" s="7">
        <v>1861.38</v>
      </c>
      <c r="H17" s="7">
        <v>1861.38</v>
      </c>
      <c r="I17" s="7">
        <v>1819.7</v>
      </c>
      <c r="J17" s="7">
        <v>2833.74</v>
      </c>
      <c r="Q17" s="5"/>
      <c r="R17" s="5"/>
      <c r="W17" s="5"/>
    </row>
    <row r="18" spans="2:23" ht="12.75" customHeight="1">
      <c r="B18" s="6">
        <v>14</v>
      </c>
      <c r="C18" s="7">
        <v>2273.47</v>
      </c>
      <c r="D18" s="8">
        <v>5028.5</v>
      </c>
      <c r="E18" s="7">
        <v>3801.47</v>
      </c>
      <c r="F18" s="7">
        <v>3046.73</v>
      </c>
      <c r="G18" s="7">
        <v>1861.38</v>
      </c>
      <c r="H18" s="7">
        <v>1861.38</v>
      </c>
      <c r="I18" s="7">
        <v>1759.51</v>
      </c>
      <c r="J18" s="7">
        <v>2833.74</v>
      </c>
      <c r="Q18" s="5"/>
      <c r="R18" s="5"/>
      <c r="W18" s="5"/>
    </row>
    <row r="19" spans="2:23" ht="12.75" customHeight="1">
      <c r="B19" s="6">
        <v>15</v>
      </c>
      <c r="C19" s="7">
        <v>2166.98</v>
      </c>
      <c r="D19" s="8">
        <v>5028.5</v>
      </c>
      <c r="E19" s="7">
        <v>3801.47</v>
      </c>
      <c r="F19" s="7">
        <v>3046.73</v>
      </c>
      <c r="G19" s="7">
        <v>1861.38</v>
      </c>
      <c r="H19" s="7">
        <v>1861.38</v>
      </c>
      <c r="I19" s="7">
        <v>1759.51</v>
      </c>
      <c r="J19" s="7">
        <v>2625.38</v>
      </c>
      <c r="W19" s="5"/>
    </row>
    <row r="20" spans="2:23" ht="12.75" customHeight="1">
      <c r="B20" s="6">
        <v>16</v>
      </c>
      <c r="C20" s="7">
        <v>2166.98</v>
      </c>
      <c r="D20" s="8">
        <v>4648.81</v>
      </c>
      <c r="E20" s="7">
        <v>3625.52</v>
      </c>
      <c r="F20" s="7">
        <v>2833.74</v>
      </c>
      <c r="G20" s="7">
        <v>1819.7</v>
      </c>
      <c r="H20" s="7">
        <v>1819.7</v>
      </c>
      <c r="I20" s="7">
        <v>1759.51</v>
      </c>
      <c r="J20" s="7">
        <v>2625.38</v>
      </c>
      <c r="W20" s="5"/>
    </row>
    <row r="21" spans="2:23" ht="12.75" customHeight="1">
      <c r="B21" s="6">
        <v>17</v>
      </c>
      <c r="C21" s="7">
        <v>2166.98</v>
      </c>
      <c r="D21" s="8">
        <v>4648.81</v>
      </c>
      <c r="E21" s="7">
        <v>3625.52</v>
      </c>
      <c r="F21" s="7">
        <v>2833.74</v>
      </c>
      <c r="G21" s="7">
        <v>1819.7</v>
      </c>
      <c r="H21" s="7">
        <v>1819.7</v>
      </c>
      <c r="I21" s="7">
        <v>1759.51</v>
      </c>
      <c r="J21" s="7">
        <v>2625.38</v>
      </c>
      <c r="W21" s="5"/>
    </row>
    <row r="22" spans="2:23" ht="12.75" customHeight="1">
      <c r="B22" s="6">
        <v>18</v>
      </c>
      <c r="C22" s="7">
        <v>2166.98</v>
      </c>
      <c r="D22" s="8">
        <v>4898.85</v>
      </c>
      <c r="E22" s="7">
        <v>3625.52</v>
      </c>
      <c r="F22" s="7">
        <v>2833.74</v>
      </c>
      <c r="G22" s="7">
        <v>1819.7</v>
      </c>
      <c r="H22" s="7">
        <v>1819.7</v>
      </c>
      <c r="I22" s="7">
        <v>1717.84</v>
      </c>
      <c r="J22" s="7">
        <v>2625.38</v>
      </c>
      <c r="W22" s="5"/>
    </row>
    <row r="23" spans="2:23" ht="12.75" customHeight="1">
      <c r="B23" s="6">
        <v>19</v>
      </c>
      <c r="C23" s="7">
        <v>2060.48</v>
      </c>
      <c r="D23" s="8">
        <v>4898.85</v>
      </c>
      <c r="E23" s="7">
        <v>3625.52</v>
      </c>
      <c r="F23" s="7">
        <v>2833.74</v>
      </c>
      <c r="G23" s="7">
        <v>1819.7</v>
      </c>
      <c r="H23" s="7">
        <v>1819.7</v>
      </c>
      <c r="I23" s="7">
        <v>1717.84</v>
      </c>
      <c r="J23" s="7">
        <v>2458.68</v>
      </c>
      <c r="W23" s="5"/>
    </row>
    <row r="24" spans="2:23" ht="12.75" customHeight="1">
      <c r="B24" s="6">
        <v>20</v>
      </c>
      <c r="C24" s="7">
        <v>2060.48</v>
      </c>
      <c r="D24" s="8">
        <v>4898.85</v>
      </c>
      <c r="E24" s="7">
        <v>3625.52</v>
      </c>
      <c r="F24" s="7">
        <v>2833.74</v>
      </c>
      <c r="G24" s="7">
        <v>1759.51</v>
      </c>
      <c r="H24" s="7">
        <v>1759.51</v>
      </c>
      <c r="I24" s="7">
        <v>1717.84</v>
      </c>
      <c r="J24" s="7">
        <v>2458.68</v>
      </c>
      <c r="W24" s="5"/>
    </row>
    <row r="25" spans="2:23" ht="12.75" customHeight="1">
      <c r="B25" s="6">
        <v>21</v>
      </c>
      <c r="C25" s="7">
        <v>2060.48</v>
      </c>
      <c r="D25" s="8">
        <v>4648.81</v>
      </c>
      <c r="E25" s="7">
        <v>3398.63</v>
      </c>
      <c r="F25" s="7">
        <v>2625.38</v>
      </c>
      <c r="G25" s="7">
        <v>1759.51</v>
      </c>
      <c r="H25" s="7">
        <v>1759.51</v>
      </c>
      <c r="I25" s="7">
        <v>1643.75</v>
      </c>
      <c r="J25" s="7">
        <v>2458.68</v>
      </c>
      <c r="W25" s="5"/>
    </row>
    <row r="26" spans="2:23" ht="12.75" customHeight="1">
      <c r="B26" s="6">
        <v>22</v>
      </c>
      <c r="C26" s="7">
        <v>2060.48</v>
      </c>
      <c r="D26" s="8">
        <v>4648.81</v>
      </c>
      <c r="E26" s="7">
        <v>3398.63</v>
      </c>
      <c r="F26" s="7">
        <v>2625.38</v>
      </c>
      <c r="G26" s="7">
        <v>1759.51</v>
      </c>
      <c r="H26" s="7">
        <v>1759.51</v>
      </c>
      <c r="I26" s="7">
        <v>1643.75</v>
      </c>
      <c r="J26" s="7">
        <v>2458.68</v>
      </c>
      <c r="W26" s="5"/>
    </row>
    <row r="27" spans="2:23" ht="12.75" customHeight="1">
      <c r="B27" s="6">
        <v>23</v>
      </c>
      <c r="C27" s="7">
        <v>1967.87</v>
      </c>
      <c r="D27" s="8">
        <v>4648.81</v>
      </c>
      <c r="E27" s="7">
        <v>3398.63</v>
      </c>
      <c r="F27" s="7">
        <v>2625.38</v>
      </c>
      <c r="G27" s="7">
        <v>1759.51</v>
      </c>
      <c r="H27" s="7">
        <v>1759.51</v>
      </c>
      <c r="I27" s="7">
        <v>1643.75</v>
      </c>
      <c r="J27" s="7">
        <v>2291.99</v>
      </c>
      <c r="W27" s="5"/>
    </row>
    <row r="28" spans="2:23" ht="12.75" customHeight="1">
      <c r="B28" s="6">
        <v>24</v>
      </c>
      <c r="C28" s="7">
        <v>1967.87</v>
      </c>
      <c r="D28" s="8">
        <v>4458.97</v>
      </c>
      <c r="E28" s="7">
        <v>3398.63</v>
      </c>
      <c r="F28" s="7">
        <v>2625.38</v>
      </c>
      <c r="G28" s="7">
        <v>1717.84</v>
      </c>
      <c r="H28" s="7">
        <v>1717.84</v>
      </c>
      <c r="I28" s="7">
        <v>1578.93</v>
      </c>
      <c r="J28" s="7">
        <v>2291.99</v>
      </c>
      <c r="W28" s="5"/>
    </row>
    <row r="29" spans="2:23" ht="12.75" customHeight="1">
      <c r="B29" s="6">
        <v>25</v>
      </c>
      <c r="C29" s="6">
        <v>1967.87</v>
      </c>
      <c r="D29" s="9">
        <v>4458.97</v>
      </c>
      <c r="E29" s="6">
        <v>3167.12</v>
      </c>
      <c r="F29" s="6">
        <v>2458.68</v>
      </c>
      <c r="G29" s="6">
        <v>1717.84</v>
      </c>
      <c r="H29" s="6">
        <v>1717.84</v>
      </c>
      <c r="I29" s="6">
        <v>1578.93</v>
      </c>
      <c r="J29" s="6">
        <v>2291.99</v>
      </c>
      <c r="W29" s="5"/>
    </row>
    <row r="30" spans="2:10" ht="12.75" customHeight="1">
      <c r="B30" s="6">
        <v>26</v>
      </c>
      <c r="C30" s="6">
        <v>1875.27</v>
      </c>
      <c r="D30" s="9">
        <v>4458.97</v>
      </c>
      <c r="E30" s="6">
        <v>3167.12</v>
      </c>
      <c r="F30" s="6">
        <v>2458.68</v>
      </c>
      <c r="G30" s="6">
        <v>1717.84</v>
      </c>
      <c r="H30" s="6">
        <v>1717.84</v>
      </c>
      <c r="I30" s="6">
        <v>1546.52</v>
      </c>
      <c r="J30" s="6">
        <v>2162.35</v>
      </c>
    </row>
    <row r="31" spans="2:10" ht="12.75" customHeight="1">
      <c r="B31" s="6">
        <v>27</v>
      </c>
      <c r="C31" s="6">
        <v>1875.27</v>
      </c>
      <c r="D31" s="9">
        <v>4458.97</v>
      </c>
      <c r="E31" s="6">
        <v>3167.12</v>
      </c>
      <c r="F31" s="6">
        <v>2458.68</v>
      </c>
      <c r="G31" s="6">
        <v>1643.75</v>
      </c>
      <c r="H31" s="6">
        <v>1643.75</v>
      </c>
      <c r="I31" s="6">
        <v>1546.52</v>
      </c>
      <c r="J31" s="6">
        <v>2162.35</v>
      </c>
    </row>
    <row r="32" spans="2:10" ht="12.75" customHeight="1">
      <c r="B32" s="6">
        <v>28</v>
      </c>
      <c r="C32" s="6">
        <v>1875.27</v>
      </c>
      <c r="D32" s="9">
        <v>4458.97</v>
      </c>
      <c r="E32" s="6">
        <v>3167.12</v>
      </c>
      <c r="F32" s="6">
        <v>2458.68</v>
      </c>
      <c r="G32" s="6">
        <v>1643.75</v>
      </c>
      <c r="H32" s="6">
        <v>1643.75</v>
      </c>
      <c r="I32" s="6">
        <v>1514.11</v>
      </c>
      <c r="J32" s="6">
        <v>2162.35</v>
      </c>
    </row>
    <row r="33" spans="2:10" ht="12.75" customHeight="1">
      <c r="B33" s="6">
        <v>29</v>
      </c>
      <c r="C33" s="6">
        <v>1805.81</v>
      </c>
      <c r="D33" s="9">
        <v>4458.97</v>
      </c>
      <c r="E33" s="6">
        <v>2940.24</v>
      </c>
      <c r="F33" s="6">
        <v>2291.99</v>
      </c>
      <c r="G33" s="6">
        <v>1643.75</v>
      </c>
      <c r="H33" s="6">
        <v>1643.75</v>
      </c>
      <c r="I33" s="6">
        <v>1514.11</v>
      </c>
      <c r="J33" s="6">
        <v>2120.67</v>
      </c>
    </row>
    <row r="34" spans="2:10" ht="12.75" customHeight="1">
      <c r="B34" s="6">
        <v>30</v>
      </c>
      <c r="C34" s="6">
        <v>1805.81</v>
      </c>
      <c r="D34" s="9">
        <v>4241.35</v>
      </c>
      <c r="E34" s="6">
        <v>2940.24</v>
      </c>
      <c r="F34" s="6">
        <v>2291.99</v>
      </c>
      <c r="G34" s="6">
        <v>1578.93</v>
      </c>
      <c r="H34" s="6">
        <v>1578.93</v>
      </c>
      <c r="I34" s="6">
        <v>1504.84</v>
      </c>
      <c r="J34" s="6">
        <v>2120.67</v>
      </c>
    </row>
    <row r="35" spans="2:10" ht="12.75" customHeight="1">
      <c r="B35" s="6">
        <v>31</v>
      </c>
      <c r="C35" s="6">
        <v>1736.36</v>
      </c>
      <c r="D35" s="9">
        <v>4241.35</v>
      </c>
      <c r="E35" s="6">
        <v>2940.24</v>
      </c>
      <c r="F35" s="6">
        <v>2291.99</v>
      </c>
      <c r="G35" s="6">
        <v>1578.93</v>
      </c>
      <c r="H35" s="6">
        <v>1578.93</v>
      </c>
      <c r="I35" s="6">
        <v>1504.84</v>
      </c>
      <c r="J35" s="6">
        <v>2120.67</v>
      </c>
    </row>
    <row r="36" spans="2:10" ht="12.75" customHeight="1">
      <c r="B36" s="6">
        <v>32</v>
      </c>
      <c r="C36" s="6">
        <v>1736.36</v>
      </c>
      <c r="D36" s="9">
        <v>4241.35</v>
      </c>
      <c r="E36" s="6">
        <v>2745.76</v>
      </c>
      <c r="F36" s="6">
        <v>2162.35</v>
      </c>
      <c r="G36" s="6">
        <v>1546.52</v>
      </c>
      <c r="H36" s="6">
        <v>1546.52</v>
      </c>
      <c r="I36" s="6">
        <v>1495.58</v>
      </c>
      <c r="J36" s="6">
        <v>2060.48</v>
      </c>
    </row>
    <row r="37" spans="2:10" ht="12.75" customHeight="1">
      <c r="B37" s="6">
        <v>33</v>
      </c>
      <c r="C37" s="6">
        <v>1671.54</v>
      </c>
      <c r="D37" s="9">
        <v>3801.47</v>
      </c>
      <c r="E37" s="6">
        <v>2745.76</v>
      </c>
      <c r="F37" s="6">
        <v>2162.35</v>
      </c>
      <c r="G37" s="6">
        <v>1546.52</v>
      </c>
      <c r="H37" s="6">
        <v>1546.52</v>
      </c>
      <c r="I37" s="6">
        <v>1495.58</v>
      </c>
      <c r="J37" s="6">
        <v>2060.48</v>
      </c>
    </row>
    <row r="38" spans="2:10" ht="12.75" customHeight="1">
      <c r="B38" s="6">
        <v>34</v>
      </c>
      <c r="C38" s="6">
        <v>1671.54</v>
      </c>
      <c r="D38" s="9">
        <v>3801.47</v>
      </c>
      <c r="E38" s="6">
        <v>2745.76</v>
      </c>
      <c r="F38" s="6">
        <v>2162.35</v>
      </c>
      <c r="G38" s="6">
        <v>1514.11</v>
      </c>
      <c r="H38" s="6">
        <v>1514.11</v>
      </c>
      <c r="I38" s="6">
        <v>1490.95</v>
      </c>
      <c r="J38" s="6">
        <v>2000.29</v>
      </c>
    </row>
    <row r="39" spans="2:10" ht="12.75" customHeight="1">
      <c r="B39" s="6">
        <v>35</v>
      </c>
      <c r="C39" s="6">
        <v>1611.34</v>
      </c>
      <c r="D39" s="9">
        <v>3801.47</v>
      </c>
      <c r="E39" s="6">
        <v>2597.59</v>
      </c>
      <c r="F39" s="6">
        <v>2120.67</v>
      </c>
      <c r="G39" s="6">
        <v>1514.11</v>
      </c>
      <c r="H39" s="6">
        <v>1514.11</v>
      </c>
      <c r="I39" s="6">
        <v>1486.32</v>
      </c>
      <c r="J39" s="6">
        <v>1709.735</v>
      </c>
    </row>
    <row r="40" spans="2:10" ht="12.75" customHeight="1">
      <c r="B40" s="6">
        <v>36</v>
      </c>
      <c r="C40" s="6">
        <v>1611.34</v>
      </c>
      <c r="D40" s="9">
        <v>3625.52</v>
      </c>
      <c r="E40" s="6">
        <v>2597.59</v>
      </c>
      <c r="F40" s="6">
        <v>2120.67</v>
      </c>
      <c r="G40" s="6">
        <v>1504.84</v>
      </c>
      <c r="H40" s="6">
        <v>1504.84</v>
      </c>
      <c r="I40" s="6"/>
      <c r="J40" s="6"/>
    </row>
    <row r="41" spans="2:10" ht="12.75" customHeight="1">
      <c r="B41" s="6">
        <v>37</v>
      </c>
      <c r="C41" s="10">
        <v>1574.3</v>
      </c>
      <c r="D41" s="11">
        <v>3625.52</v>
      </c>
      <c r="E41" s="10">
        <v>2597.59</v>
      </c>
      <c r="F41" s="10">
        <v>2120.67</v>
      </c>
      <c r="G41" s="10">
        <v>1504.84</v>
      </c>
      <c r="H41" s="10">
        <v>1504.84</v>
      </c>
      <c r="I41" s="10"/>
      <c r="J41" s="10"/>
    </row>
    <row r="42" spans="2:10" ht="12.75" customHeight="1">
      <c r="B42" s="6">
        <v>38</v>
      </c>
      <c r="C42" s="10">
        <v>1574.3</v>
      </c>
      <c r="D42" s="11">
        <v>3398.63</v>
      </c>
      <c r="E42" s="10">
        <v>2435.53</v>
      </c>
      <c r="F42" s="10">
        <v>2060.48</v>
      </c>
      <c r="G42" s="10">
        <v>1495.58</v>
      </c>
      <c r="H42" s="10">
        <v>1495.58</v>
      </c>
      <c r="I42" s="10"/>
      <c r="J42" s="10"/>
    </row>
    <row r="43" spans="2:13" ht="12.75" customHeight="1">
      <c r="B43" s="6">
        <v>39</v>
      </c>
      <c r="C43" s="10">
        <v>1537.26</v>
      </c>
      <c r="D43" s="11">
        <v>3398.63</v>
      </c>
      <c r="E43" s="10">
        <v>2435.53</v>
      </c>
      <c r="F43" s="10">
        <v>2060.48</v>
      </c>
      <c r="G43" s="10">
        <v>1495.58</v>
      </c>
      <c r="H43" s="10">
        <v>1495.58</v>
      </c>
      <c r="I43" s="10"/>
      <c r="J43" s="10"/>
      <c r="M43" s="12"/>
    </row>
    <row r="44" spans="2:13" ht="12.75" customHeight="1">
      <c r="B44" s="6">
        <v>40</v>
      </c>
      <c r="C44" s="10">
        <v>1537.26</v>
      </c>
      <c r="D44" s="11">
        <v>3222.68</v>
      </c>
      <c r="E44" s="10">
        <v>2264.21</v>
      </c>
      <c r="F44" s="10">
        <v>2000.29</v>
      </c>
      <c r="G44" s="10">
        <v>1490.95</v>
      </c>
      <c r="H44" s="10">
        <v>1490.95</v>
      </c>
      <c r="I44" s="10"/>
      <c r="J44" s="10"/>
      <c r="M44" s="12"/>
    </row>
    <row r="45" spans="2:13" ht="12.75" customHeight="1">
      <c r="B45" s="6">
        <v>41</v>
      </c>
      <c r="C45" s="10">
        <v>1514.11</v>
      </c>
      <c r="D45" s="11">
        <v>3222.68</v>
      </c>
      <c r="E45" s="10">
        <v>1952.8275</v>
      </c>
      <c r="F45" s="10">
        <v>1709.735</v>
      </c>
      <c r="G45" s="10">
        <v>1486.32</v>
      </c>
      <c r="H45" s="10">
        <v>1486.32</v>
      </c>
      <c r="I45" s="10"/>
      <c r="J45" s="10"/>
      <c r="M45" s="12"/>
    </row>
    <row r="46" spans="2:10" ht="12.75" customHeight="1">
      <c r="B46" s="6">
        <v>42</v>
      </c>
      <c r="C46" s="10"/>
      <c r="D46" s="11">
        <v>3046.73</v>
      </c>
      <c r="E46" s="10"/>
      <c r="F46" s="10"/>
      <c r="G46" s="10"/>
      <c r="H46" s="10"/>
      <c r="I46" s="10"/>
      <c r="J46" s="10"/>
    </row>
    <row r="47" spans="2:10" ht="12.75" customHeight="1">
      <c r="B47" s="3" t="s">
        <v>11</v>
      </c>
      <c r="C47" s="4">
        <f>'plafond sécu et CNAV'!J46*(1-0.074)</f>
        <v>1163.0449524532826</v>
      </c>
      <c r="D47" s="4">
        <f>'plafond sécu et CNAV'!K46*(1-0.074)</f>
        <v>1328.5436274167703</v>
      </c>
      <c r="E47" s="4">
        <f>'plafond sécu et CNAV'!L46*(1-0.074)</f>
        <v>1328.5436274167703</v>
      </c>
      <c r="F47" s="4">
        <f>'plafond sécu et CNAV'!M46*(1-0.074)</f>
        <v>1326.1702331993108</v>
      </c>
      <c r="G47" s="4">
        <f>'plafond sécu et CNAV'!N46*(1-0.074)</f>
        <v>949.8742703457566</v>
      </c>
      <c r="H47" s="4">
        <f>'plafond sécu et CNAV'!O46*(1-0.074)</f>
        <v>949.8742703457566</v>
      </c>
      <c r="I47" s="4">
        <f>'plafond sécu et CNAV'!P46*(1-0.074)</f>
        <v>879.8618965383396</v>
      </c>
      <c r="J47" s="4">
        <f>'plafond sécu et CNAV'!Q46*(1-0.074)</f>
        <v>1263.0192697136292</v>
      </c>
    </row>
    <row r="48" spans="2:10" ht="12.75" customHeight="1">
      <c r="B48" s="10" t="s">
        <v>12</v>
      </c>
      <c r="C48" s="4">
        <f>'calculs agirc'!C47*(1-0.084)+ARRCO!G99*(1-0.084)</f>
        <v>531.1501658823005</v>
      </c>
      <c r="D48" s="4">
        <f>'calculs agirc'!D47*(1-0.084)+ARRCO!H99*(1-0.084)</f>
        <v>2327.944655491081</v>
      </c>
      <c r="E48" s="4">
        <f>'calculs agirc'!E47*(1-0.084)+ARRCO!I99*(1-0.084)</f>
        <v>1350.0050070283635</v>
      </c>
      <c r="F48" s="4">
        <f>'calculs agirc'!F47*(1-0.084)+ARRCO!J99*(1-0.084)</f>
        <v>872.912449833994</v>
      </c>
      <c r="G48" s="4">
        <f>'calculs agirc'!G47*(1-0.084)+ARRCO!K99*(1-0.084)</f>
        <v>457.0807482550823</v>
      </c>
      <c r="H48" s="4">
        <f>'calculs agirc'!H47*(1-0.084)+ARRCO!L99*(1-0.084)</f>
        <v>457.0807482550823</v>
      </c>
      <c r="I48" s="4">
        <f>'calculs agirc'!I47*(1-0.084)+ARRCO!M99*(1-0.084)</f>
        <v>374.87364172913453</v>
      </c>
      <c r="J48" s="4">
        <f>'calculs agirc'!J47*(1-0.084)+ARRCO!N99*(1-0.084)</f>
        <v>641.0949638611627</v>
      </c>
    </row>
    <row r="49" spans="2:10" ht="12.75" customHeight="1">
      <c r="B49" s="13" t="s">
        <v>13</v>
      </c>
      <c r="C49" s="14">
        <f>C47+C48</f>
        <v>1694.1951183355832</v>
      </c>
      <c r="D49" s="14">
        <f>D47+D48</f>
        <v>3656.4882829078515</v>
      </c>
      <c r="E49" s="14">
        <f>E47+E48</f>
        <v>2678.5486344451338</v>
      </c>
      <c r="F49" s="14">
        <f>F47+F48</f>
        <v>2199.082683033305</v>
      </c>
      <c r="G49" s="14">
        <f>G47+G48</f>
        <v>1406.955018600839</v>
      </c>
      <c r="H49" s="14">
        <f>H47+H48</f>
        <v>1406.955018600839</v>
      </c>
      <c r="I49" s="14">
        <f>I47+I48</f>
        <v>1254.735538267474</v>
      </c>
      <c r="J49" s="14">
        <f>J47+J48</f>
        <v>1904.1142335747918</v>
      </c>
    </row>
    <row r="50" spans="2:10" ht="14.25" customHeight="1">
      <c r="B50" s="15" t="s">
        <v>14</v>
      </c>
      <c r="C50" s="5">
        <v>0.64</v>
      </c>
      <c r="D50" s="5">
        <v>0.51</v>
      </c>
      <c r="E50" s="5">
        <v>0.76</v>
      </c>
      <c r="F50" s="5">
        <v>0.76</v>
      </c>
      <c r="G50" s="5">
        <v>0.71</v>
      </c>
      <c r="H50" s="5">
        <v>0.69</v>
      </c>
      <c r="I50" s="5">
        <v>0.54</v>
      </c>
      <c r="J50" s="5">
        <v>0.81</v>
      </c>
    </row>
    <row r="51" spans="2:10" ht="12.75" customHeight="1">
      <c r="B51" s="16" t="s">
        <v>15</v>
      </c>
      <c r="C51" s="17">
        <f>C4*C50*(1+C55)*(1-(0.9825*0.08))*0.99</f>
        <v>1795.84407611136</v>
      </c>
      <c r="D51" s="17">
        <f>D4*D50*(1+D55)*(1-(0.9825*0.08))*0.99</f>
        <v>4262.49486799092</v>
      </c>
      <c r="E51" s="17">
        <f>E4*E50*(1+E55)*(1-(0.9825*0.08))*0.99</f>
        <v>2925.3076110411116</v>
      </c>
      <c r="F51" s="17">
        <f>F4*F50*(1+F55)*(1-(0.9825*0.08))*0.99</f>
        <v>2281.154598021024</v>
      </c>
      <c r="G51" s="17">
        <f>G4*G50*(1+G55)*(1-(0.9825*0.08))*0.99</f>
        <v>1675.681962105492</v>
      </c>
      <c r="H51" s="17">
        <f>H4*H50*(1+H55)*(1-(0.9825*0.08))*0.99</f>
        <v>1452.744438927408</v>
      </c>
      <c r="I51" s="17">
        <f>I4*I50*(1+I55)*(1-(0.9825*0.08))*0.99</f>
        <v>1136.9304304649281</v>
      </c>
      <c r="J51" s="17">
        <f>J4*J50*(1+J55)*(1-(0.9825*0.08))*0.99</f>
        <v>2431.2305584171445</v>
      </c>
    </row>
    <row r="52" spans="2:10" ht="12.75" customHeight="1">
      <c r="B52" t="s">
        <v>16</v>
      </c>
      <c r="C52" s="18">
        <v>1425.15614563328</v>
      </c>
      <c r="D52" s="18">
        <v>3402.06464523526</v>
      </c>
      <c r="E52" s="18">
        <v>2377.85400270941</v>
      </c>
      <c r="F52" s="18">
        <v>1750.40463289815</v>
      </c>
      <c r="G52" s="18">
        <v>1074.60260258612</v>
      </c>
      <c r="H52" s="18">
        <v>1243.47536756273</v>
      </c>
      <c r="I52" s="18">
        <v>807.239392885763</v>
      </c>
      <c r="J52" s="18">
        <v>1481.32872338483</v>
      </c>
    </row>
    <row r="53" spans="2:10" ht="12.75" customHeight="1">
      <c r="B53" s="13" t="s">
        <v>17</v>
      </c>
      <c r="C53" s="13">
        <v>62</v>
      </c>
      <c r="D53" s="14">
        <v>65</v>
      </c>
      <c r="E53" s="13">
        <v>64</v>
      </c>
      <c r="F53" s="13">
        <v>62</v>
      </c>
      <c r="G53" s="13">
        <v>62</v>
      </c>
      <c r="H53" s="13">
        <v>62</v>
      </c>
      <c r="I53" s="13">
        <v>62</v>
      </c>
      <c r="J53" s="13">
        <v>62</v>
      </c>
    </row>
    <row r="54" spans="2:10" ht="12.75" customHeight="1">
      <c r="B54" s="19" t="s">
        <v>18</v>
      </c>
      <c r="C54" s="19">
        <v>60</v>
      </c>
      <c r="D54" s="20">
        <v>64</v>
      </c>
      <c r="E54" s="19">
        <v>63</v>
      </c>
      <c r="F54" s="19">
        <v>60</v>
      </c>
      <c r="G54" s="19">
        <v>52</v>
      </c>
      <c r="H54" s="19">
        <v>60</v>
      </c>
      <c r="I54" s="19">
        <v>47</v>
      </c>
      <c r="J54" s="19">
        <v>56</v>
      </c>
    </row>
    <row r="55" spans="2:11" ht="14.25" customHeight="1">
      <c r="B55" s="21" t="s">
        <v>19</v>
      </c>
      <c r="C55" s="22">
        <v>0.29</v>
      </c>
      <c r="D55" s="22">
        <v>0.7</v>
      </c>
      <c r="E55" s="22">
        <v>0.11</v>
      </c>
      <c r="F55" s="22">
        <v>0.08</v>
      </c>
      <c r="G55" s="22">
        <v>0.39</v>
      </c>
      <c r="H55" s="22">
        <v>0.24</v>
      </c>
      <c r="I55" s="22">
        <v>0.24</v>
      </c>
      <c r="J55" s="22">
        <v>0.08</v>
      </c>
      <c r="K55" t="s">
        <v>20</v>
      </c>
    </row>
    <row r="56" spans="2:20" ht="12.75" customHeight="1">
      <c r="B56" s="21" t="s">
        <v>21</v>
      </c>
      <c r="C56" s="23">
        <v>0.18</v>
      </c>
      <c r="D56" s="23">
        <v>0.14</v>
      </c>
      <c r="E56" s="23">
        <v>0.22</v>
      </c>
      <c r="F56" s="23">
        <v>0.15</v>
      </c>
      <c r="G56" s="23">
        <v>0.06</v>
      </c>
      <c r="H56" s="23">
        <v>0.15</v>
      </c>
      <c r="I56" s="24">
        <v>0.055</v>
      </c>
      <c r="J56" s="24">
        <v>0.045</v>
      </c>
      <c r="K56" s="5">
        <f>SUM(C56:J56)</f>
        <v>1</v>
      </c>
      <c r="P56" s="5"/>
      <c r="T56" s="5"/>
    </row>
    <row r="57" spans="2:20" ht="12.75" customHeight="1">
      <c r="B57" t="s">
        <v>22</v>
      </c>
      <c r="C57" s="5">
        <v>0.42</v>
      </c>
      <c r="D57" s="5">
        <v>0.69</v>
      </c>
      <c r="E57" s="5">
        <v>0.46</v>
      </c>
      <c r="F57" s="5">
        <v>0.30000000000000004</v>
      </c>
      <c r="G57" s="5">
        <v>0.97</v>
      </c>
      <c r="H57" s="5">
        <v>0.27</v>
      </c>
      <c r="I57" s="5">
        <v>0.08</v>
      </c>
      <c r="J57" s="5">
        <v>0.30000000000000004</v>
      </c>
      <c r="P57" s="5"/>
      <c r="T57" s="5"/>
    </row>
    <row r="58" spans="2:20" ht="12.75" customHeight="1">
      <c r="B58" s="25" t="s">
        <v>23</v>
      </c>
      <c r="C58" s="26"/>
      <c r="D58" s="26"/>
      <c r="E58" s="26"/>
      <c r="F58" s="26"/>
      <c r="G58" s="26"/>
      <c r="H58" s="26"/>
      <c r="I58" s="26"/>
      <c r="J58" s="26"/>
      <c r="P58" s="5"/>
      <c r="T58" s="5"/>
    </row>
    <row r="59" spans="2:20" ht="12.75" customHeight="1">
      <c r="B59" t="s">
        <v>24</v>
      </c>
      <c r="C59">
        <f>'données complémentaire'!$M$6+60-C53</f>
        <v>26</v>
      </c>
      <c r="D59">
        <f>'données complémentaire'!$M$6+60-D53</f>
        <v>23</v>
      </c>
      <c r="E59">
        <f>'données complémentaire'!$M$6+60-E53</f>
        <v>24</v>
      </c>
      <c r="F59">
        <f>'données complémentaire'!$M$6+60-F53</f>
        <v>26</v>
      </c>
      <c r="G59">
        <f>'données complémentaire'!$M$6+60-G53</f>
        <v>26</v>
      </c>
      <c r="H59">
        <f>'données complémentaire'!$M$6+60-H53</f>
        <v>26</v>
      </c>
      <c r="I59">
        <f>'données complémentaire'!$M$6+60-I53</f>
        <v>26</v>
      </c>
      <c r="J59">
        <f>'données complémentaire'!$M$6+60-J53</f>
        <v>26</v>
      </c>
      <c r="T59" s="5"/>
    </row>
    <row r="60" spans="2:20" ht="12.75" customHeight="1">
      <c r="B60" t="s">
        <v>25</v>
      </c>
      <c r="C60">
        <f>'données complémentaire'!$M$5+60-C53</f>
        <v>30.299999999999997</v>
      </c>
      <c r="D60">
        <f>'données complémentaire'!$M$5+60-D53</f>
        <v>27.299999999999997</v>
      </c>
      <c r="E60">
        <f>'données complémentaire'!$M$5+60-E53</f>
        <v>28.299999999999997</v>
      </c>
      <c r="F60">
        <f>'données complémentaire'!$M$5+60-F53</f>
        <v>30.299999999999997</v>
      </c>
      <c r="G60">
        <f>'données complémentaire'!$M$5+60-G53</f>
        <v>30.299999999999997</v>
      </c>
      <c r="H60">
        <f>'données complémentaire'!$M$5+60-H53</f>
        <v>30.299999999999997</v>
      </c>
      <c r="I60">
        <f>'données complémentaire'!$M$5+60-I53</f>
        <v>30.299999999999997</v>
      </c>
      <c r="J60">
        <f>'données complémentaire'!$M$5+60-J53</f>
        <v>30.299999999999997</v>
      </c>
      <c r="T60" s="5"/>
    </row>
    <row r="61" spans="2:20" ht="12.75" customHeight="1">
      <c r="B61" s="27" t="s">
        <v>26</v>
      </c>
      <c r="C61" s="28">
        <f>C51*(C57*('données complémentaire'!$M$6+60-C54)+(1-C57)*('données complémentaire'!$M$5+60-C54))*12</f>
        <v>657149.6310832778</v>
      </c>
      <c r="D61" s="28">
        <f>D51*(D57*('données complémentaire'!$M$6+60-D54)+(1-D57)*('données complémentaire'!$M$5+60-D54))*12</f>
        <v>1295781.3898897676</v>
      </c>
      <c r="E61" s="28">
        <f>E51*(E57*('données complémentaire'!$M$6+60-E54)+(1-E57)*('données complémentaire'!$M$5+60-E54))*12</f>
        <v>959103.054586383</v>
      </c>
      <c r="F61" s="28">
        <f>F51*(F57*('données complémentaire'!$M$6+60-F54)+(1-F57)*('données complémentaire'!$M$5+60-F54))*12</f>
        <v>848863.2490155834</v>
      </c>
      <c r="G61" s="28">
        <f>G51*(G57*('données complémentaire'!$M$6+60-G54)+(1-G57)*('données complémentaire'!$M$5+60-G54))*12</f>
        <v>726488.5633069118</v>
      </c>
      <c r="H61" s="28">
        <f>H51*(H57*('données complémentaire'!$M$6+60-H54)+(1-H57)*('données complémentaire'!$M$5+60-H54))*12</f>
        <v>542844.1090051266</v>
      </c>
      <c r="I61" s="28">
        <f>I51*(I57*('données complémentaire'!$M$6+60-I54)+(1-I57)*('données complémentaire'!$M$5+60-I54))*12</f>
        <v>613342.1331837757</v>
      </c>
      <c r="J61" s="28">
        <f>J51*(J57*('données complémentaire'!$M$6+60-J54)+(1-J57)*('données complémentaire'!$M$5+60-J54))*12</f>
        <v>1021408.5822022106</v>
      </c>
      <c r="K61" s="25" t="s">
        <v>27</v>
      </c>
      <c r="P61" s="5"/>
      <c r="S61" s="5"/>
      <c r="T61" s="5"/>
    </row>
    <row r="62" spans="2:20" ht="12.75" customHeight="1">
      <c r="B62" s="29" t="s">
        <v>28</v>
      </c>
      <c r="C62" s="30">
        <f>C61*C56</f>
        <v>118286.93359499</v>
      </c>
      <c r="D62" s="30">
        <f>D61*D56</f>
        <v>181409.3945845675</v>
      </c>
      <c r="E62" s="30">
        <f>E61*E56</f>
        <v>211002.67200900428</v>
      </c>
      <c r="F62" s="30">
        <f>F61*F56</f>
        <v>127329.48735233751</v>
      </c>
      <c r="G62" s="30">
        <f>G61*G56</f>
        <v>43589.31379841471</v>
      </c>
      <c r="H62" s="30">
        <f>H61*H56</f>
        <v>81426.61635076899</v>
      </c>
      <c r="I62" s="30">
        <f>I61*I56</f>
        <v>33733.817325107666</v>
      </c>
      <c r="J62" s="30">
        <f>J61*J56</f>
        <v>45963.38619909947</v>
      </c>
      <c r="K62" s="28">
        <f>SUM(C62:J62)</f>
        <v>842741.62121429</v>
      </c>
      <c r="P62" s="5"/>
      <c r="S62" s="5"/>
      <c r="T62" s="5"/>
    </row>
    <row r="63" spans="2:20" ht="12.75" customHeight="1">
      <c r="B63" s="31" t="s">
        <v>29</v>
      </c>
      <c r="C63" s="32">
        <f>C49*(C57*C59+(1-C57)*C60)*12</f>
        <v>579292.7484222492</v>
      </c>
      <c r="D63" s="32">
        <f>D49*(D57*D59+(1-D57)*D60)*12</f>
        <v>1067679.9526559608</v>
      </c>
      <c r="E63" s="32">
        <f>E49*(E57*E59+(1-E57)*E60)*12</f>
        <v>846057.0858703778</v>
      </c>
      <c r="F63" s="32">
        <f>F49*(F57*F59+(1-F57)*F60)*12</f>
        <v>765544.663617554</v>
      </c>
      <c r="G63" s="32">
        <f>G49*(G57*G59+(1-G57)*G60)*12</f>
        <v>441147.93217225577</v>
      </c>
      <c r="H63" s="32">
        <f>H49*(H57*H59+(1-H57)*H60)*12</f>
        <v>491967.1474441181</v>
      </c>
      <c r="I63" s="32">
        <f>I49*(I57*I59+(1-I57)*I60)*12</f>
        <v>451042.2934120854</v>
      </c>
      <c r="J63" s="32">
        <f>J49*(J57*J59+(1-J57)*J60)*12</f>
        <v>662860.2469920565</v>
      </c>
      <c r="K63" s="25" t="s">
        <v>30</v>
      </c>
      <c r="P63" s="5"/>
      <c r="Q63" s="5"/>
      <c r="T63" s="5"/>
    </row>
    <row r="64" spans="2:17" ht="14.25" customHeight="1">
      <c r="B64" s="29" t="s">
        <v>31</v>
      </c>
      <c r="C64" s="30">
        <f>C63*C56</f>
        <v>104272.69471600486</v>
      </c>
      <c r="D64" s="30">
        <f>D63*D56</f>
        <v>149475.19337183452</v>
      </c>
      <c r="E64" s="30">
        <f>E63*E56</f>
        <v>186132.55889148312</v>
      </c>
      <c r="F64" s="30">
        <f>F63*F56</f>
        <v>114831.6995426331</v>
      </c>
      <c r="G64" s="30">
        <f>G63*G56</f>
        <v>26468.875930335344</v>
      </c>
      <c r="H64" s="30">
        <f>H63*H56</f>
        <v>73795.07211661771</v>
      </c>
      <c r="I64" s="30">
        <f>I63*I56</f>
        <v>24807.326137664695</v>
      </c>
      <c r="J64" s="30">
        <f>J63*J56</f>
        <v>29828.71111464254</v>
      </c>
      <c r="K64" s="32">
        <f>SUM(C64:J64)</f>
        <v>709612.131821216</v>
      </c>
      <c r="N64" s="5"/>
      <c r="Q64" s="5"/>
    </row>
    <row r="65" spans="10:11" ht="12.75" customHeight="1">
      <c r="J65" s="33" t="s">
        <v>32</v>
      </c>
      <c r="K65" s="34">
        <f>K62-K64</f>
        <v>133129.48939307407</v>
      </c>
    </row>
    <row r="66" spans="10:11" ht="12.75" customHeight="1">
      <c r="J66" s="33" t="s">
        <v>33</v>
      </c>
      <c r="K66" s="5">
        <f>(K62-K64)/K62</f>
        <v>0.15797189321354554</v>
      </c>
    </row>
    <row r="67" spans="3:11" ht="12.75" customHeight="1">
      <c r="C67" t="s">
        <v>34</v>
      </c>
      <c r="K67" s="34"/>
    </row>
    <row r="68" spans="3:11" ht="12.75" customHeight="1">
      <c r="C68" t="s">
        <v>35</v>
      </c>
      <c r="K68" s="34"/>
    </row>
    <row r="69" ht="12.75" customHeight="1">
      <c r="C69" t="s">
        <v>36</v>
      </c>
    </row>
    <row r="70" ht="12.75" customHeight="1">
      <c r="C70" t="s">
        <v>37</v>
      </c>
    </row>
    <row r="71" ht="12.75" customHeight="1">
      <c r="C71" t="s">
        <v>38</v>
      </c>
    </row>
    <row r="72" ht="12.75" customHeight="1">
      <c r="C72" t="s">
        <v>39</v>
      </c>
    </row>
    <row r="73" ht="12.75" customHeight="1">
      <c r="C73" t="s">
        <v>40</v>
      </c>
    </row>
    <row r="74" ht="12.75" customHeight="1">
      <c r="C74" t="s">
        <v>41</v>
      </c>
    </row>
    <row r="75" ht="12.75" customHeight="1">
      <c r="C75" t="s">
        <v>42</v>
      </c>
    </row>
  </sheetData>
  <sheetProtection password="9CD6" sheet="1"/>
  <mergeCells count="1">
    <mergeCell ref="E2:G2"/>
  </mergeCell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1:V47"/>
  <sheetViews>
    <sheetView tabSelected="1" workbookViewId="0" topLeftCell="A1">
      <selection activeCell="N16" sqref="N16"/>
    </sheetView>
  </sheetViews>
  <sheetFormatPr defaultColWidth="11.421875" defaultRowHeight="12.75" customHeight="1"/>
  <cols>
    <col min="1" max="2" width="11.57421875" style="0" customWidth="1"/>
    <col min="3" max="3" width="18.00390625" style="0" customWidth="1"/>
    <col min="4" max="4" width="11.57421875" style="0" customWidth="1"/>
    <col min="5" max="5" width="15.7109375" style="0" customWidth="1"/>
    <col min="6" max="6" width="11.57421875" style="0" customWidth="1"/>
    <col min="7" max="7" width="15.8515625" style="0" customWidth="1"/>
    <col min="8" max="8" width="18.421875" style="35" customWidth="1"/>
    <col min="9" max="9" width="11.57421875" style="35" customWidth="1"/>
    <col min="10" max="10" width="11.57421875" style="0" customWidth="1"/>
    <col min="11" max="11" width="15.00390625" style="0" customWidth="1"/>
    <col min="12" max="12" width="22.8515625" style="0" customWidth="1"/>
    <col min="13" max="16384" width="11.57421875" style="0" customWidth="1"/>
  </cols>
  <sheetData>
    <row r="1" spans="2:9" ht="12.75" customHeight="1">
      <c r="B1" t="s">
        <v>43</v>
      </c>
      <c r="G1" s="35" t="s">
        <v>44</v>
      </c>
      <c r="I1"/>
    </row>
    <row r="2" spans="2:10" ht="12.75" customHeight="1">
      <c r="B2" s="36" t="s">
        <v>45</v>
      </c>
      <c r="C2" s="37" t="s">
        <v>46</v>
      </c>
      <c r="D2" s="37" t="s">
        <v>47</v>
      </c>
      <c r="E2" s="38" t="s">
        <v>48</v>
      </c>
      <c r="G2" s="39" t="s">
        <v>49</v>
      </c>
      <c r="H2" s="40" t="s">
        <v>50</v>
      </c>
      <c r="I2" s="37" t="s">
        <v>47</v>
      </c>
      <c r="J2" s="38" t="s">
        <v>51</v>
      </c>
    </row>
    <row r="3" spans="2:22" ht="12.75" customHeight="1">
      <c r="B3" s="41">
        <v>2014</v>
      </c>
      <c r="C3" s="1">
        <v>5.3075</v>
      </c>
      <c r="D3" s="5">
        <f aca="true" t="shared" si="0" ref="D3:D43">(C3-C4)/C4</f>
        <v>0.0013017394257253717</v>
      </c>
      <c r="E3" s="42">
        <v>0.16344</v>
      </c>
      <c r="G3" s="43">
        <v>55.5635</v>
      </c>
      <c r="H3" s="35">
        <f aca="true" t="shared" si="1" ref="H3:H22">G3/12</f>
        <v>4.6302916666666665</v>
      </c>
      <c r="I3">
        <f aca="true" t="shared" si="2" ref="I3:I47">H3/$H$3</f>
        <v>1</v>
      </c>
      <c r="J3" s="42">
        <f aca="true" t="shared" si="3" ref="J3:J46">(H3-H4)/H4</f>
        <v>0</v>
      </c>
      <c r="L3" s="5"/>
      <c r="O3" s="5"/>
      <c r="P3" s="5"/>
      <c r="R3" s="5"/>
      <c r="S3" s="5"/>
      <c r="V3" s="5"/>
    </row>
    <row r="4" spans="2:16" ht="12.75" customHeight="1">
      <c r="B4" s="41">
        <v>2013</v>
      </c>
      <c r="C4" s="1">
        <v>5.3006</v>
      </c>
      <c r="D4" s="5">
        <f t="shared" si="0"/>
        <v>0.009465044087680306</v>
      </c>
      <c r="E4" s="12"/>
      <c r="G4" s="43">
        <v>55.5635</v>
      </c>
      <c r="H4" s="35">
        <f t="shared" si="1"/>
        <v>4.6302916666666665</v>
      </c>
      <c r="I4">
        <f t="shared" si="2"/>
        <v>1</v>
      </c>
      <c r="J4" s="42">
        <f t="shared" si="3"/>
        <v>0</v>
      </c>
      <c r="L4" t="s">
        <v>52</v>
      </c>
      <c r="O4" s="5"/>
      <c r="P4" s="5"/>
    </row>
    <row r="5" spans="2:22" ht="12.75" customHeight="1">
      <c r="B5" s="41">
        <v>2012</v>
      </c>
      <c r="C5" s="1">
        <v>5.2509</v>
      </c>
      <c r="D5" s="5">
        <f t="shared" si="0"/>
        <v>0.022490945203878947</v>
      </c>
      <c r="E5" s="12"/>
      <c r="G5" s="43">
        <v>55.5635</v>
      </c>
      <c r="H5" s="35">
        <f t="shared" si="1"/>
        <v>4.6302916666666665</v>
      </c>
      <c r="I5">
        <f t="shared" si="2"/>
        <v>1</v>
      </c>
      <c r="J5" s="42">
        <f t="shared" si="3"/>
        <v>0</v>
      </c>
      <c r="L5" t="s">
        <v>53</v>
      </c>
      <c r="M5">
        <v>32.3</v>
      </c>
      <c r="N5" s="5">
        <v>0.514</v>
      </c>
      <c r="O5" s="5"/>
      <c r="P5" s="5"/>
      <c r="R5" s="5"/>
      <c r="S5" s="5"/>
      <c r="V5" s="5"/>
    </row>
    <row r="6" spans="2:22" ht="12.75" customHeight="1">
      <c r="B6" s="41">
        <v>2011</v>
      </c>
      <c r="C6" s="1">
        <v>5.1354</v>
      </c>
      <c r="D6" s="5">
        <f t="shared" si="0"/>
        <v>0.021990487372883054</v>
      </c>
      <c r="E6" s="12"/>
      <c r="G6" s="43">
        <v>55.5635</v>
      </c>
      <c r="H6" s="35">
        <f t="shared" si="1"/>
        <v>4.6302916666666665</v>
      </c>
      <c r="I6">
        <f t="shared" si="2"/>
        <v>1</v>
      </c>
      <c r="J6" s="42">
        <f t="shared" si="3"/>
        <v>0</v>
      </c>
      <c r="L6" t="s">
        <v>54</v>
      </c>
      <c r="M6">
        <v>28</v>
      </c>
      <c r="N6" s="5">
        <v>0.486</v>
      </c>
      <c r="O6" s="5"/>
      <c r="P6" s="5"/>
      <c r="R6" s="5"/>
      <c r="S6" s="5"/>
      <c r="V6" s="5"/>
    </row>
    <row r="7" spans="2:22" ht="12.75" customHeight="1">
      <c r="B7" s="41">
        <v>2010</v>
      </c>
      <c r="C7" s="1">
        <v>5.0249</v>
      </c>
      <c r="D7" s="5">
        <f t="shared" si="0"/>
        <v>0.013002983630352346</v>
      </c>
      <c r="E7" s="12"/>
      <c r="G7" s="43">
        <v>55.5635</v>
      </c>
      <c r="H7" s="35">
        <f t="shared" si="1"/>
        <v>4.6302916666666665</v>
      </c>
      <c r="I7">
        <f t="shared" si="2"/>
        <v>1</v>
      </c>
      <c r="J7" s="42">
        <f t="shared" si="3"/>
        <v>0.008014992280717044</v>
      </c>
      <c r="L7" t="s">
        <v>55</v>
      </c>
      <c r="M7">
        <f>M5*N5+M6*N6</f>
        <v>30.2102</v>
      </c>
      <c r="O7" s="5"/>
      <c r="P7" s="5"/>
      <c r="R7" s="5"/>
      <c r="S7" s="5"/>
      <c r="V7" s="5"/>
    </row>
    <row r="8" spans="2:22" ht="12.75" customHeight="1">
      <c r="B8" s="41">
        <v>2009</v>
      </c>
      <c r="C8" s="1">
        <v>4.9604</v>
      </c>
      <c r="D8" s="5">
        <f t="shared" si="0"/>
        <v>0.017998235064748475</v>
      </c>
      <c r="E8" s="12"/>
      <c r="G8" s="43">
        <v>55.1217</v>
      </c>
      <c r="H8" s="35">
        <f t="shared" si="1"/>
        <v>4.593475</v>
      </c>
      <c r="I8">
        <f t="shared" si="2"/>
        <v>0.9920487370306046</v>
      </c>
      <c r="J8" s="42">
        <f t="shared" si="3"/>
        <v>0.008094500458127424</v>
      </c>
      <c r="O8" s="5"/>
      <c r="P8" s="5"/>
      <c r="R8" s="5"/>
      <c r="S8" s="5"/>
      <c r="V8" s="5"/>
    </row>
    <row r="9" spans="2:22" ht="12.75" customHeight="1">
      <c r="B9" s="41">
        <v>2008</v>
      </c>
      <c r="C9" s="1">
        <v>4.8727</v>
      </c>
      <c r="D9" s="5">
        <f t="shared" si="0"/>
        <v>0.03399469496021213</v>
      </c>
      <c r="E9" s="12"/>
      <c r="G9" s="43">
        <v>54.6791</v>
      </c>
      <c r="H9" s="35">
        <f t="shared" si="1"/>
        <v>4.556591666666667</v>
      </c>
      <c r="I9">
        <f t="shared" si="2"/>
        <v>0.9840830761201149</v>
      </c>
      <c r="J9" s="42">
        <f t="shared" si="3"/>
        <v>0.005587095611426558</v>
      </c>
      <c r="O9" s="44"/>
      <c r="P9" s="5"/>
      <c r="R9" s="5"/>
      <c r="S9" s="5"/>
      <c r="V9" s="5"/>
    </row>
    <row r="10" spans="2:22" ht="12.75" customHeight="1">
      <c r="B10" s="41">
        <v>2007</v>
      </c>
      <c r="C10" s="1">
        <v>4.7125</v>
      </c>
      <c r="D10" s="5">
        <f t="shared" si="0"/>
        <v>0.03699058181498126</v>
      </c>
      <c r="E10" s="12"/>
      <c r="G10" s="43">
        <v>54.3753</v>
      </c>
      <c r="H10" s="35">
        <f t="shared" si="1"/>
        <v>4.531275</v>
      </c>
      <c r="I10">
        <f t="shared" si="2"/>
        <v>0.9786154579895076</v>
      </c>
      <c r="J10" s="42">
        <f t="shared" si="3"/>
        <v>0.00984301322492395</v>
      </c>
      <c r="O10" s="5"/>
      <c r="P10" s="5"/>
      <c r="R10" s="5"/>
      <c r="S10" s="5"/>
      <c r="V10" s="5"/>
    </row>
    <row r="11" spans="2:22" ht="12.75" customHeight="1">
      <c r="B11" s="41">
        <v>2006</v>
      </c>
      <c r="C11" s="1">
        <v>4.5443999999999996</v>
      </c>
      <c r="D11" s="5">
        <f t="shared" si="0"/>
        <v>0.02900618164526864</v>
      </c>
      <c r="E11" s="12"/>
      <c r="G11" s="43">
        <v>53.8453</v>
      </c>
      <c r="H11" s="35">
        <f t="shared" si="1"/>
        <v>4.4871083333333335</v>
      </c>
      <c r="I11">
        <f t="shared" si="2"/>
        <v>0.969076822014452</v>
      </c>
      <c r="J11" s="42">
        <f t="shared" si="3"/>
        <v>0.012106869769854848</v>
      </c>
      <c r="O11" s="5"/>
      <c r="P11" s="5"/>
      <c r="R11" s="5"/>
      <c r="S11" s="5"/>
      <c r="V11" s="5"/>
    </row>
    <row r="12" spans="2:22" ht="12.75" customHeight="1">
      <c r="B12" s="41">
        <v>2005</v>
      </c>
      <c r="C12" s="1">
        <v>4.4163</v>
      </c>
      <c r="D12" s="5">
        <f t="shared" si="0"/>
        <v>0.023998330550918077</v>
      </c>
      <c r="E12" s="12"/>
      <c r="G12" s="43">
        <v>53.2012</v>
      </c>
      <c r="H12" s="35">
        <f t="shared" si="1"/>
        <v>4.433433333333333</v>
      </c>
      <c r="I12">
        <f t="shared" si="2"/>
        <v>0.9574846796908043</v>
      </c>
      <c r="J12" s="42">
        <f t="shared" si="3"/>
        <v>0.00844267360176517</v>
      </c>
      <c r="O12" s="5"/>
      <c r="P12" s="5"/>
      <c r="R12" s="5"/>
      <c r="S12" s="5"/>
      <c r="V12" s="5"/>
    </row>
    <row r="13" spans="2:22" ht="12.75" customHeight="1">
      <c r="B13" s="41">
        <v>2004</v>
      </c>
      <c r="C13" s="1">
        <v>4.3128</v>
      </c>
      <c r="D13" s="5">
        <f t="shared" si="0"/>
        <v>0.023008681626263208</v>
      </c>
      <c r="E13" s="12"/>
      <c r="G13" s="43">
        <v>52.7558</v>
      </c>
      <c r="H13" s="35">
        <f t="shared" si="1"/>
        <v>4.396316666666666</v>
      </c>
      <c r="I13">
        <f t="shared" si="2"/>
        <v>0.949468625986484</v>
      </c>
      <c r="J13" s="42">
        <f t="shared" si="3"/>
        <v>0.005000638176681514</v>
      </c>
      <c r="O13" s="5"/>
      <c r="P13" s="5"/>
      <c r="R13" s="5"/>
      <c r="S13" s="5"/>
      <c r="V13" s="5"/>
    </row>
    <row r="14" spans="2:22" ht="12.75" customHeight="1">
      <c r="B14" s="41">
        <v>2003</v>
      </c>
      <c r="C14" s="1">
        <v>4.2158</v>
      </c>
      <c r="D14" s="5">
        <f t="shared" si="0"/>
        <v>0.01600231358750658</v>
      </c>
      <c r="E14" s="12"/>
      <c r="G14" s="43">
        <v>52.4933</v>
      </c>
      <c r="H14" s="35">
        <f t="shared" si="1"/>
        <v>4.374441666666667</v>
      </c>
      <c r="I14">
        <f t="shared" si="2"/>
        <v>0.9447443015648763</v>
      </c>
      <c r="J14" s="42">
        <f t="shared" si="3"/>
        <v>0.00741359126412962</v>
      </c>
      <c r="O14" s="5"/>
      <c r="P14" s="5"/>
      <c r="R14" s="5"/>
      <c r="S14" s="5"/>
      <c r="V14" s="5"/>
    </row>
    <row r="15" spans="2:22" ht="12.75" customHeight="1">
      <c r="B15" s="41">
        <v>2002</v>
      </c>
      <c r="C15" s="1">
        <v>4.1494</v>
      </c>
      <c r="D15" s="5">
        <f t="shared" si="0"/>
        <v>0.015986553116835632</v>
      </c>
      <c r="E15" s="12"/>
      <c r="G15" s="43">
        <v>52.107</v>
      </c>
      <c r="H15" s="35">
        <f t="shared" si="1"/>
        <v>4.34225</v>
      </c>
      <c r="I15">
        <f t="shared" si="2"/>
        <v>0.9377918957589065</v>
      </c>
      <c r="J15" s="42">
        <f t="shared" si="3"/>
        <v>0.01312018540914053</v>
      </c>
      <c r="O15" s="5"/>
      <c r="P15" s="5"/>
      <c r="R15" s="5"/>
      <c r="S15" s="5"/>
      <c r="V15" s="5"/>
    </row>
    <row r="16" spans="2:22" ht="14.25" customHeight="1">
      <c r="B16" s="41">
        <v>2001</v>
      </c>
      <c r="C16" s="1">
        <v>4.08410917179022</v>
      </c>
      <c r="D16" s="5">
        <f t="shared" si="0"/>
        <v>0.015157256536565782</v>
      </c>
      <c r="E16" s="12"/>
      <c r="G16" s="43">
        <v>51.4322</v>
      </c>
      <c r="H16" s="35">
        <f t="shared" si="1"/>
        <v>4.286016666666667</v>
      </c>
      <c r="I16">
        <f t="shared" si="2"/>
        <v>0.9256472324457603</v>
      </c>
      <c r="J16" s="42">
        <f t="shared" si="3"/>
        <v>0.014505846522857357</v>
      </c>
      <c r="O16" s="5"/>
      <c r="P16" s="5"/>
      <c r="R16" s="5"/>
      <c r="S16" s="5"/>
      <c r="V16" s="5"/>
    </row>
    <row r="17" spans="2:22" ht="12.75" customHeight="1">
      <c r="B17" s="41">
        <v>2000</v>
      </c>
      <c r="C17" s="1">
        <v>4.02312956489526</v>
      </c>
      <c r="D17" s="5">
        <f t="shared" si="0"/>
        <v>0.06885378695828348</v>
      </c>
      <c r="E17" s="12"/>
      <c r="G17" s="43">
        <v>50.6968</v>
      </c>
      <c r="H17" s="35">
        <f t="shared" si="1"/>
        <v>4.224733333333334</v>
      </c>
      <c r="I17">
        <f t="shared" si="2"/>
        <v>0.9124119250947116</v>
      </c>
      <c r="J17" s="42">
        <f t="shared" si="3"/>
        <v>0.0035989310105909653</v>
      </c>
      <c r="O17" s="5"/>
      <c r="P17" s="5"/>
      <c r="R17" s="5"/>
      <c r="S17" s="5"/>
      <c r="V17" s="5"/>
    </row>
    <row r="18" spans="2:22" ht="12.75" customHeight="1">
      <c r="B18" s="41">
        <v>1999</v>
      </c>
      <c r="C18" s="1">
        <v>3.76396623559166</v>
      </c>
      <c r="D18" s="5">
        <f t="shared" si="0"/>
        <v>0.0688311688311681</v>
      </c>
      <c r="E18" s="12"/>
      <c r="G18" s="43">
        <v>50.515</v>
      </c>
      <c r="H18" s="35">
        <f t="shared" si="1"/>
        <v>4.209583333333334</v>
      </c>
      <c r="I18">
        <f t="shared" si="2"/>
        <v>0.9091399929810038</v>
      </c>
      <c r="J18" s="42">
        <f t="shared" si="3"/>
        <v>0.011801513445953829</v>
      </c>
      <c r="O18" s="5"/>
      <c r="P18" s="5"/>
      <c r="R18" s="5"/>
      <c r="S18" s="5"/>
      <c r="V18" s="5"/>
    </row>
    <row r="19" spans="2:19" ht="12.75" customHeight="1">
      <c r="B19" s="41">
        <v>1998</v>
      </c>
      <c r="C19" s="1">
        <v>3.52157229818418</v>
      </c>
      <c r="D19" s="5">
        <f t="shared" si="0"/>
        <v>0.037735849056602294</v>
      </c>
      <c r="E19" s="12"/>
      <c r="G19" s="43">
        <v>49.9258</v>
      </c>
      <c r="H19" s="35">
        <f t="shared" si="1"/>
        <v>4.1604833333333335</v>
      </c>
      <c r="I19">
        <f t="shared" si="2"/>
        <v>0.8985359093649609</v>
      </c>
      <c r="J19" s="42">
        <f t="shared" si="3"/>
        <v>0.010195884820292322</v>
      </c>
      <c r="O19" s="5"/>
      <c r="P19" s="5"/>
      <c r="S19" s="5"/>
    </row>
    <row r="20" spans="2:19" ht="12.75" customHeight="1">
      <c r="B20" s="41">
        <v>1997</v>
      </c>
      <c r="C20" s="1">
        <v>3.39351512370476</v>
      </c>
      <c r="D20" s="5">
        <f t="shared" si="0"/>
        <v>0.05198487712665676</v>
      </c>
      <c r="E20" s="12"/>
      <c r="G20" s="43">
        <v>49.4219</v>
      </c>
      <c r="H20" s="35">
        <f t="shared" si="1"/>
        <v>4.118491666666666</v>
      </c>
      <c r="I20">
        <f t="shared" si="2"/>
        <v>0.8894670062181108</v>
      </c>
      <c r="J20" s="42">
        <f t="shared" si="3"/>
        <v>0.005417490580930636</v>
      </c>
      <c r="O20" s="5"/>
      <c r="P20" s="5"/>
      <c r="S20" s="5"/>
    </row>
    <row r="21" spans="2:19" ht="12.75" customHeight="1">
      <c r="B21" s="41">
        <v>1996</v>
      </c>
      <c r="C21" s="1">
        <v>3.2258212047436</v>
      </c>
      <c r="D21" s="5">
        <f t="shared" si="0"/>
        <v>0.056415376934596966</v>
      </c>
      <c r="E21" s="12"/>
      <c r="G21" s="43">
        <v>49.1556</v>
      </c>
      <c r="H21" s="35">
        <f t="shared" si="1"/>
        <v>4.0963</v>
      </c>
      <c r="I21">
        <f t="shared" si="2"/>
        <v>0.8846742915763047</v>
      </c>
      <c r="J21" s="42">
        <f t="shared" si="3"/>
        <v>0.011636091228272374</v>
      </c>
      <c r="O21" s="5"/>
      <c r="P21" s="5"/>
      <c r="S21" s="5"/>
    </row>
    <row r="22" spans="2:19" ht="12.75" customHeight="1">
      <c r="B22" s="41">
        <v>1995</v>
      </c>
      <c r="C22" s="1">
        <v>3.05355381526533</v>
      </c>
      <c r="D22" s="5">
        <f t="shared" si="0"/>
        <v>0.026127049180328033</v>
      </c>
      <c r="E22" s="12"/>
      <c r="G22" s="43">
        <v>48.5902</v>
      </c>
      <c r="H22" s="35">
        <f t="shared" si="1"/>
        <v>4.049183333333334</v>
      </c>
      <c r="I22">
        <f t="shared" si="2"/>
        <v>0.8744985467078209</v>
      </c>
      <c r="J22" s="42">
        <f t="shared" si="3"/>
        <v>0.02752895001734044</v>
      </c>
      <c r="O22" s="5"/>
      <c r="P22" s="5"/>
      <c r="S22" s="5"/>
    </row>
    <row r="23" spans="2:19" ht="12.75" customHeight="1">
      <c r="B23" s="41">
        <v>1994</v>
      </c>
      <c r="C23" s="1">
        <v>2.97580481647425</v>
      </c>
      <c r="D23" s="5">
        <f t="shared" si="0"/>
        <v>0.012448132780083608</v>
      </c>
      <c r="E23" s="12"/>
      <c r="G23" s="45">
        <f aca="true" t="shared" si="4" ref="G23:G45">G22/(1+$J$22)</f>
        <v>47.2884</v>
      </c>
      <c r="H23">
        <v>3.9407</v>
      </c>
      <c r="I23">
        <f t="shared" si="2"/>
        <v>0.8510694970619203</v>
      </c>
      <c r="J23" s="42">
        <f t="shared" si="3"/>
        <v>0.011447344780678107</v>
      </c>
      <c r="O23" s="5"/>
      <c r="P23" s="5"/>
      <c r="S23" s="5"/>
    </row>
    <row r="24" spans="2:19" ht="12.75" customHeight="1">
      <c r="B24" s="41">
        <v>1993</v>
      </c>
      <c r="C24" s="1">
        <v>2.93921705233727</v>
      </c>
      <c r="D24" s="5">
        <f t="shared" si="0"/>
        <v>0.002600104004159866</v>
      </c>
      <c r="E24" s="12"/>
      <c r="G24" s="45">
        <f t="shared" si="4"/>
        <v>46.02147705833687</v>
      </c>
      <c r="H24">
        <v>3.8961</v>
      </c>
      <c r="I24">
        <f t="shared" si="2"/>
        <v>0.8414372744697509</v>
      </c>
      <c r="J24" s="42">
        <f t="shared" si="3"/>
        <v>0.027262899781158582</v>
      </c>
      <c r="O24" s="5"/>
      <c r="P24" s="5"/>
      <c r="S24" s="5"/>
    </row>
    <row r="25" spans="2:19" ht="12.75" customHeight="1">
      <c r="B25" s="41">
        <v>1992</v>
      </c>
      <c r="C25" s="1">
        <v>2.9315946014754</v>
      </c>
      <c r="D25" s="5">
        <f t="shared" si="0"/>
        <v>0.022872340425529717</v>
      </c>
      <c r="E25" s="12"/>
      <c r="G25" s="45">
        <f t="shared" si="4"/>
        <v>44.78849676941971</v>
      </c>
      <c r="H25">
        <v>3.7927</v>
      </c>
      <c r="I25">
        <f t="shared" si="2"/>
        <v>0.8191060678323</v>
      </c>
      <c r="J25" s="42">
        <f t="shared" si="3"/>
        <v>0.026552265468521647</v>
      </c>
      <c r="O25" s="5"/>
      <c r="P25" s="5"/>
      <c r="S25" s="5"/>
    </row>
    <row r="26" spans="2:19" ht="12.75" customHeight="1">
      <c r="B26" s="41">
        <v>1991</v>
      </c>
      <c r="C26" s="1">
        <v>2.86604152406332</v>
      </c>
      <c r="D26" s="5">
        <f t="shared" si="0"/>
        <v>0.03239978034047503</v>
      </c>
      <c r="E26" s="12"/>
      <c r="G26" s="45">
        <f t="shared" si="4"/>
        <v>43.58854976170148</v>
      </c>
      <c r="H26">
        <v>3.6946</v>
      </c>
      <c r="I26">
        <f t="shared" si="2"/>
        <v>0.7979194975118558</v>
      </c>
      <c r="J26" s="42">
        <f t="shared" si="3"/>
        <v>0.018497587870434165</v>
      </c>
      <c r="O26" s="5"/>
      <c r="P26" s="5"/>
      <c r="S26" s="5"/>
    </row>
    <row r="27" spans="2:19" ht="12.75" customHeight="1">
      <c r="B27" s="41">
        <v>1990</v>
      </c>
      <c r="C27" s="1">
        <v>2.77609660389324</v>
      </c>
      <c r="D27" s="5">
        <f t="shared" si="0"/>
        <v>0.04595060310166648</v>
      </c>
      <c r="E27" s="12"/>
      <c r="G27" s="45">
        <f t="shared" si="4"/>
        <v>42.42075102698166</v>
      </c>
      <c r="H27">
        <v>3.6275</v>
      </c>
      <c r="I27">
        <f t="shared" si="2"/>
        <v>0.7834279698003186</v>
      </c>
      <c r="J27" s="42">
        <f t="shared" si="3"/>
        <v>0.024804361951577848</v>
      </c>
      <c r="O27" s="5"/>
      <c r="P27" s="5"/>
      <c r="S27" s="5"/>
    </row>
    <row r="28" spans="2:10" ht="12.75" customHeight="1">
      <c r="B28" s="41">
        <v>1989</v>
      </c>
      <c r="C28" s="1">
        <v>2.65413739010331</v>
      </c>
      <c r="D28" s="5">
        <f t="shared" si="0"/>
        <v>0.0437649880095886</v>
      </c>
      <c r="E28" s="12"/>
      <c r="G28" s="45">
        <f t="shared" si="4"/>
        <v>41.28423926767784</v>
      </c>
      <c r="H28">
        <v>3.5397</v>
      </c>
      <c r="I28">
        <f t="shared" si="2"/>
        <v>0.7644658813789628</v>
      </c>
      <c r="J28" s="42">
        <f t="shared" si="3"/>
        <v>0.02070417255399511</v>
      </c>
    </row>
    <row r="29" spans="2:10" ht="12.75" customHeight="1">
      <c r="B29" s="41">
        <v>1988</v>
      </c>
      <c r="C29" s="1">
        <v>2.5428496075200098</v>
      </c>
      <c r="D29" s="5">
        <f t="shared" si="0"/>
        <v>0.041198501872662906</v>
      </c>
      <c r="E29" s="12"/>
      <c r="G29" s="45">
        <f t="shared" si="4"/>
        <v>40.17817626158478</v>
      </c>
      <c r="H29">
        <v>3.4679</v>
      </c>
      <c r="I29">
        <f t="shared" si="2"/>
        <v>0.7489592988202688</v>
      </c>
      <c r="J29" s="42">
        <f t="shared" si="3"/>
        <v>0.020150614814379075</v>
      </c>
    </row>
    <row r="30" spans="2:10" ht="12.75" customHeight="1">
      <c r="B30" s="41">
        <v>1987</v>
      </c>
      <c r="C30" s="1">
        <v>2.44223325614331</v>
      </c>
      <c r="D30" s="5">
        <f t="shared" si="0"/>
        <v>0.026923076923076026</v>
      </c>
      <c r="E30" s="12"/>
      <c r="G30" s="45">
        <f t="shared" si="4"/>
        <v>39.10174624365254</v>
      </c>
      <c r="H30">
        <v>3.3994</v>
      </c>
      <c r="I30">
        <f t="shared" si="2"/>
        <v>0.7341654143457486</v>
      </c>
      <c r="J30" s="42">
        <f t="shared" si="3"/>
        <v>0.012509680109608571</v>
      </c>
    </row>
    <row r="31" spans="2:10" ht="12.75" customHeight="1">
      <c r="B31" s="41">
        <v>1986</v>
      </c>
      <c r="C31" s="1">
        <v>2.3782046689036</v>
      </c>
      <c r="D31" s="5">
        <f t="shared" si="0"/>
        <v>0.052631578947368286</v>
      </c>
      <c r="E31" s="12"/>
      <c r="G31" s="45">
        <f t="shared" si="4"/>
        <v>38.0541553043276</v>
      </c>
      <c r="H31">
        <v>3.3574</v>
      </c>
      <c r="I31">
        <f t="shared" si="2"/>
        <v>0.7250947114562618</v>
      </c>
      <c r="J31" s="42">
        <f t="shared" si="3"/>
        <v>0.02073452511248937</v>
      </c>
    </row>
    <row r="32" spans="2:10" ht="12.75" customHeight="1">
      <c r="B32" s="41">
        <v>1985</v>
      </c>
      <c r="C32" s="1">
        <v>2.25929443545842</v>
      </c>
      <c r="D32" s="5">
        <f t="shared" si="0"/>
        <v>0.06772334293947845</v>
      </c>
      <c r="E32" s="12"/>
      <c r="G32" s="45">
        <f t="shared" si="4"/>
        <v>37.03463080401327</v>
      </c>
      <c r="H32">
        <v>3.2892</v>
      </c>
      <c r="I32">
        <f t="shared" si="2"/>
        <v>0.7103656177166666</v>
      </c>
      <c r="J32" s="42">
        <f t="shared" si="3"/>
        <v>0.04316387047667371</v>
      </c>
    </row>
    <row r="33" spans="2:10" ht="12.75" customHeight="1">
      <c r="B33" s="41">
        <v>1984</v>
      </c>
      <c r="C33" s="1">
        <v>2.11599235925526</v>
      </c>
      <c r="D33" s="5">
        <f t="shared" si="0"/>
        <v>0.06197398622800699</v>
      </c>
      <c r="E33" s="12"/>
      <c r="G33" s="45">
        <f t="shared" si="4"/>
        <v>36.042420803217546</v>
      </c>
      <c r="H33">
        <v>3.1531000000000002</v>
      </c>
      <c r="I33">
        <f t="shared" si="2"/>
        <v>0.6809722209724011</v>
      </c>
      <c r="J33" s="42">
        <f t="shared" si="3"/>
        <v>0.0898689986519651</v>
      </c>
    </row>
    <row r="34" spans="2:10" ht="12.75" customHeight="1">
      <c r="B34" s="41">
        <v>1983</v>
      </c>
      <c r="C34" s="1">
        <v>1.99250865529295</v>
      </c>
      <c r="D34" s="5">
        <f t="shared" si="0"/>
        <v>0.10950764006791226</v>
      </c>
      <c r="E34" s="12"/>
      <c r="G34" s="45">
        <f t="shared" si="4"/>
        <v>35.07679350796812</v>
      </c>
      <c r="H34">
        <v>2.8931</v>
      </c>
      <c r="I34">
        <f t="shared" si="2"/>
        <v>0.6248202507041494</v>
      </c>
      <c r="J34" s="42">
        <f t="shared" si="3"/>
        <v>0.09091251885369526</v>
      </c>
    </row>
    <row r="35" spans="2:10" ht="12.75" customHeight="1">
      <c r="B35" s="41">
        <v>1982</v>
      </c>
      <c r="C35" s="1">
        <v>1.7958494230566902</v>
      </c>
      <c r="D35" s="5">
        <f t="shared" si="0"/>
        <v>0.11132075471697857</v>
      </c>
      <c r="E35" s="12"/>
      <c r="G35" s="45">
        <f t="shared" si="4"/>
        <v>34.137036730085484</v>
      </c>
      <c r="H35">
        <v>2.652</v>
      </c>
      <c r="I35">
        <f t="shared" si="2"/>
        <v>0.5727500967361668</v>
      </c>
      <c r="J35" s="42">
        <f t="shared" si="3"/>
        <v>0.1254933582311251</v>
      </c>
    </row>
    <row r="36" spans="2:10" ht="12.75" customHeight="1">
      <c r="B36" s="41">
        <v>1981</v>
      </c>
      <c r="C36" s="1">
        <v>1.61595958271655</v>
      </c>
      <c r="D36" s="5">
        <f t="shared" si="0"/>
        <v>0.1252653927813131</v>
      </c>
      <c r="E36" s="12"/>
      <c r="G36" s="45">
        <f t="shared" si="4"/>
        <v>33.22245736191608</v>
      </c>
      <c r="H36">
        <v>2.3563</v>
      </c>
      <c r="I36">
        <f t="shared" si="2"/>
        <v>0.5088880290118514</v>
      </c>
      <c r="J36" s="42">
        <f t="shared" si="3"/>
        <v>0.13952026308153592</v>
      </c>
    </row>
    <row r="37" spans="2:10" ht="12.75" customHeight="1">
      <c r="B37" s="41">
        <v>1980</v>
      </c>
      <c r="C37" s="1">
        <v>1.43606974237641</v>
      </c>
      <c r="D37" s="5">
        <f t="shared" si="0"/>
        <v>0.13630880579011379</v>
      </c>
      <c r="E37" s="12"/>
      <c r="G37" s="45">
        <f t="shared" si="4"/>
        <v>32.33238086513808</v>
      </c>
      <c r="H37">
        <v>2.0678</v>
      </c>
      <c r="I37">
        <f t="shared" si="2"/>
        <v>0.44658093892573364</v>
      </c>
      <c r="J37" s="42">
        <f t="shared" si="3"/>
        <v>0.1438844941085357</v>
      </c>
    </row>
    <row r="38" spans="2:10" ht="12.75" customHeight="1">
      <c r="B38" s="41">
        <v>1979</v>
      </c>
      <c r="C38" s="1">
        <v>1.26380235289813</v>
      </c>
      <c r="D38" s="5">
        <f t="shared" si="0"/>
        <v>0.1172506738544407</v>
      </c>
      <c r="E38" s="12"/>
      <c r="G38" s="45">
        <f t="shared" si="4"/>
        <v>31.46615077326283</v>
      </c>
      <c r="H38">
        <v>1.8077</v>
      </c>
      <c r="I38">
        <f t="shared" si="2"/>
        <v>0.3904073717458404</v>
      </c>
      <c r="J38" s="42">
        <f t="shared" si="3"/>
        <v>0.10806669118548479</v>
      </c>
    </row>
    <row r="39" spans="2:10" ht="12.75" customHeight="1">
      <c r="B39" s="41">
        <v>1978</v>
      </c>
      <c r="C39" s="1">
        <v>1.13117170790159</v>
      </c>
      <c r="D39" s="5">
        <f t="shared" si="0"/>
        <v>0.10089020771513404</v>
      </c>
      <c r="E39" s="12"/>
      <c r="G39" s="45">
        <f t="shared" si="4"/>
        <v>30.623128207464923</v>
      </c>
      <c r="H39">
        <v>1.6314000000000002</v>
      </c>
      <c r="I39">
        <f t="shared" si="2"/>
        <v>0.3523320165216375</v>
      </c>
      <c r="J39" s="42">
        <f t="shared" si="3"/>
        <v>0.1043866774979692</v>
      </c>
    </row>
    <row r="40" spans="2:10" ht="12.75" customHeight="1">
      <c r="B40" s="41">
        <v>1977</v>
      </c>
      <c r="C40" s="1">
        <v>1.02750637618015</v>
      </c>
      <c r="D40" s="5">
        <f t="shared" si="0"/>
        <v>0.10130718954248734</v>
      </c>
      <c r="E40" s="12"/>
      <c r="G40" s="45">
        <f t="shared" si="4"/>
        <v>29.80269140538389</v>
      </c>
      <c r="H40">
        <v>1.4772</v>
      </c>
      <c r="I40">
        <f t="shared" si="2"/>
        <v>0.3190295787702359</v>
      </c>
      <c r="J40" s="42">
        <f t="shared" si="3"/>
        <v>0.09755553904450551</v>
      </c>
    </row>
    <row r="41" spans="2:10" ht="12.75" customHeight="1">
      <c r="B41" s="41">
        <v>1976</v>
      </c>
      <c r="C41" s="1">
        <v>0.932987985492952</v>
      </c>
      <c r="D41" s="5">
        <f t="shared" si="0"/>
        <v>0.10469314079422366</v>
      </c>
      <c r="E41" s="12"/>
      <c r="G41" s="45">
        <f t="shared" si="4"/>
        <v>29.004235262549972</v>
      </c>
      <c r="H41">
        <v>1.3459</v>
      </c>
      <c r="I41">
        <f t="shared" si="2"/>
        <v>0.2906728337847688</v>
      </c>
      <c r="J41" s="42">
        <f t="shared" si="3"/>
        <v>0.10864909390444821</v>
      </c>
    </row>
    <row r="42" spans="2:10" ht="12.75" customHeight="1">
      <c r="B42" s="10">
        <v>1975</v>
      </c>
      <c r="C42" s="1">
        <v>0.8445675554952541</v>
      </c>
      <c r="D42" s="5">
        <f t="shared" si="0"/>
        <v>0.15176715176715241</v>
      </c>
      <c r="E42" s="12"/>
      <c r="G42" s="45">
        <f t="shared" si="4"/>
        <v>28.22717088609572</v>
      </c>
      <c r="H42">
        <v>1.214</v>
      </c>
      <c r="I42">
        <f t="shared" si="2"/>
        <v>0.26218650732945187</v>
      </c>
      <c r="J42" s="42">
        <f t="shared" si="3"/>
        <v>0.132251445625816</v>
      </c>
    </row>
    <row r="43" spans="2:10" ht="12.75" customHeight="1">
      <c r="B43" s="46">
        <v>1974</v>
      </c>
      <c r="C43" s="47">
        <v>0.733279772911944</v>
      </c>
      <c r="D43" s="48">
        <f t="shared" si="0"/>
        <v>0.13176470588235298</v>
      </c>
      <c r="E43" s="49"/>
      <c r="G43" s="45">
        <f t="shared" si="4"/>
        <v>27.4709251604243</v>
      </c>
      <c r="H43">
        <v>1.0722</v>
      </c>
      <c r="I43">
        <f t="shared" si="2"/>
        <v>0.23156208662161312</v>
      </c>
      <c r="J43" s="42">
        <f t="shared" si="3"/>
        <v>0.13870008496176725</v>
      </c>
    </row>
    <row r="44" spans="2:10" ht="12.75" customHeight="1">
      <c r="B44" s="12">
        <v>1973</v>
      </c>
      <c r="C44">
        <f>4.25/6.55957</f>
        <v>0.6479083232589942</v>
      </c>
      <c r="D44" s="5">
        <v>0.0945</v>
      </c>
      <c r="G44" s="45">
        <f t="shared" si="4"/>
        <v>26.734940324514174</v>
      </c>
      <c r="H44">
        <v>0.9416</v>
      </c>
      <c r="I44">
        <f t="shared" si="2"/>
        <v>0.2033565200176375</v>
      </c>
      <c r="J44" s="42">
        <f t="shared" si="3"/>
        <v>0.0927236857374956</v>
      </c>
    </row>
    <row r="45" spans="2:10" ht="12.75" customHeight="1">
      <c r="B45" s="12">
        <v>1972</v>
      </c>
      <c r="C45">
        <f>3.88/6.55957</f>
        <v>0.5915021868811523</v>
      </c>
      <c r="G45" s="45">
        <f t="shared" si="4"/>
        <v>26.018673560548343</v>
      </c>
      <c r="H45">
        <v>0.8617</v>
      </c>
      <c r="I45">
        <f t="shared" si="2"/>
        <v>0.18610058761597092</v>
      </c>
      <c r="J45" s="42">
        <f t="shared" si="3"/>
        <v>0.08185812931575648</v>
      </c>
    </row>
    <row r="46" spans="7:10" ht="12.75" customHeight="1">
      <c r="G46" s="45"/>
      <c r="H46">
        <v>0.7965</v>
      </c>
      <c r="I46">
        <f t="shared" si="2"/>
        <v>0.17201940122562473</v>
      </c>
      <c r="J46" s="42">
        <f t="shared" si="3"/>
        <v>0.06540930979133218</v>
      </c>
    </row>
    <row r="47" spans="7:10" ht="12.75" customHeight="1">
      <c r="G47" s="50"/>
      <c r="H47" s="51">
        <v>0.7476</v>
      </c>
      <c r="I47" s="51">
        <f t="shared" si="2"/>
        <v>0.1614585114328651</v>
      </c>
      <c r="J47" s="52"/>
    </row>
  </sheetData>
  <sheetProtection password="9CD6" sheet="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B2:J55"/>
  <sheetViews>
    <sheetView tabSelected="1" workbookViewId="0" topLeftCell="A40">
      <selection activeCell="E69" sqref="E69"/>
    </sheetView>
  </sheetViews>
  <sheetFormatPr defaultColWidth="11.421875" defaultRowHeight="12.75" customHeight="1"/>
  <cols>
    <col min="1" max="1" width="11.57421875" style="0" customWidth="1"/>
    <col min="2" max="2" width="25.8515625" style="0" customWidth="1"/>
    <col min="3" max="3" width="18.140625" style="0" customWidth="1"/>
    <col min="4" max="4" width="15.421875" style="53" customWidth="1"/>
    <col min="5" max="5" width="16.7109375" style="0" customWidth="1"/>
    <col min="6" max="6" width="10.421875" style="0" customWidth="1"/>
    <col min="7" max="7" width="16.28125" style="0" customWidth="1"/>
    <col min="8" max="8" width="20.28125" style="0" customWidth="1"/>
    <col min="9" max="9" width="19.421875" style="0" customWidth="1"/>
    <col min="10" max="16384" width="11.57421875" style="0" customWidth="1"/>
  </cols>
  <sheetData>
    <row r="2" spans="2:10" ht="12.75" customHeight="1">
      <c r="B2" s="3" t="s">
        <v>56</v>
      </c>
      <c r="C2" s="3" t="s">
        <v>3</v>
      </c>
      <c r="D2" s="54" t="s">
        <v>57</v>
      </c>
      <c r="E2" s="3" t="s">
        <v>5</v>
      </c>
      <c r="F2" s="3" t="s">
        <v>6</v>
      </c>
      <c r="G2" s="3" t="s">
        <v>58</v>
      </c>
      <c r="H2" s="3" t="s">
        <v>59</v>
      </c>
      <c r="I2" s="3" t="s">
        <v>60</v>
      </c>
      <c r="J2" s="3" t="s">
        <v>10</v>
      </c>
    </row>
    <row r="3" spans="2:10" ht="12.75" customHeight="1">
      <c r="B3" s="10">
        <v>0</v>
      </c>
      <c r="C3" s="3" t="s">
        <v>61</v>
      </c>
      <c r="D3" s="55">
        <f>MAX('Grilles et calculs individuels'!D4*'données complémentaire'!$I3-'plafond sécu et CNAV'!$F3,0)*'données complémentaire'!$E$3/'données complémentaire'!$C3</f>
        <v>69.6151239566651</v>
      </c>
      <c r="E3" s="55">
        <f>MAX('Grilles et calculs individuels'!E4*'données complémentaire'!$I3-'plafond sécu et CNAV'!$F3,0)*'données complémentaire'!$E$3/'données complémentaire'!$C3</f>
        <v>20.70814824305228</v>
      </c>
      <c r="F3" s="55">
        <f>MAX('Grilles et calculs individuels'!F4*'données complémentaire'!$I3-'plafond sécu et CNAV'!$F3,0)*'données complémentaire'!$E$3/'données complémentaire'!$C3</f>
        <v>0</v>
      </c>
      <c r="G3" s="3" t="s">
        <v>61</v>
      </c>
      <c r="H3" s="3" t="s">
        <v>61</v>
      </c>
      <c r="I3" s="3" t="s">
        <v>61</v>
      </c>
      <c r="J3" s="55">
        <f>MAX('Grilles et calculs individuels'!J4*'données complémentaire'!$I3-'plafond sécu et CNAV'!$F3,0)*'données complémentaire'!$E$3/'données complémentaire'!$C3</f>
        <v>0</v>
      </c>
    </row>
    <row r="4" spans="2:10" ht="12.75" customHeight="1">
      <c r="B4" s="10">
        <v>1</v>
      </c>
      <c r="C4" s="3" t="s">
        <v>61</v>
      </c>
      <c r="D4" s="55">
        <f>MAX('Grilles et calculs individuels'!D5*'données complémentaire'!$I4-'plafond sécu et CNAV'!$F4,0)*'données complémentaire'!$E$3/'données complémentaire'!$C4</f>
        <v>71.03161725087726</v>
      </c>
      <c r="E4" s="55">
        <f>MAX('Grilles et calculs individuels'!E5*'données complémentaire'!$I4-'plafond sécu et CNAV'!$F4,0)*'données complémentaire'!$E$3/'données complémentaire'!$C4</f>
        <v>22.060977398785038</v>
      </c>
      <c r="F4" s="55">
        <f>MAX('Grilles et calculs individuels'!F5*'données complémentaire'!$I4-'plafond sécu et CNAV'!$F4,0)*'données complémentaire'!$E$3/'données complémentaire'!$C4</f>
        <v>0</v>
      </c>
      <c r="G4" s="3" t="s">
        <v>61</v>
      </c>
      <c r="H4" s="3" t="s">
        <v>61</v>
      </c>
      <c r="I4" s="3" t="s">
        <v>61</v>
      </c>
      <c r="J4" s="55">
        <f>MAX('Grilles et calculs individuels'!J5*'données complémentaire'!$I4-'plafond sécu et CNAV'!$F4,0)*'données complémentaire'!$E$3/'données complémentaire'!$C4</f>
        <v>0</v>
      </c>
    </row>
    <row r="5" spans="2:10" ht="12.75" customHeight="1">
      <c r="B5" s="10">
        <v>2</v>
      </c>
      <c r="C5" s="3" t="s">
        <v>61</v>
      </c>
      <c r="D5" s="55">
        <f>MAX('Grilles et calculs individuels'!D6*'données complémentaire'!$I5-'plafond sécu et CNAV'!$F5,0)*'données complémentaire'!$E$3/'données complémentaire'!$C5</f>
        <v>73.41586973661659</v>
      </c>
      <c r="E5" s="55">
        <f>MAX('Grilles et calculs individuels'!E6*'données complémentaire'!$I5-'plafond sécu et CNAV'!$F5,0)*'données complémentaire'!$E$3/'données complémentaire'!$C5</f>
        <v>23.9817206193224</v>
      </c>
      <c r="F5" s="55">
        <f>MAX('Grilles et calculs individuels'!F6*'données complémentaire'!$I5-'plafond sécu et CNAV'!$F5,0)*'données complémentaire'!$E$3/'données complémentaire'!$C5</f>
        <v>0.4896134376963955</v>
      </c>
      <c r="G5" s="3" t="s">
        <v>61</v>
      </c>
      <c r="H5" s="3" t="s">
        <v>61</v>
      </c>
      <c r="I5" s="3" t="s">
        <v>61</v>
      </c>
      <c r="J5" s="55">
        <f>MAX('Grilles et calculs individuels'!J6*'données complémentaire'!$I5-'plafond sécu et CNAV'!$F5,0)*'données complémentaire'!$E$3/'données complémentaire'!$C5</f>
        <v>0.4896134376963955</v>
      </c>
    </row>
    <row r="6" spans="2:10" ht="12.75" customHeight="1">
      <c r="B6" s="10">
        <v>3</v>
      </c>
      <c r="C6" s="3" t="s">
        <v>61</v>
      </c>
      <c r="D6" s="55">
        <f>MAX('Grilles et calculs individuels'!D7*'données complémentaire'!$I6-'plafond sécu et CNAV'!$F6,0)*'données complémentaire'!$E$3/'données complémentaire'!$C6</f>
        <v>77.7722846126884</v>
      </c>
      <c r="E6" s="55">
        <f>MAX('Grilles et calculs individuels'!E7*'données complémentaire'!$I6-'plafond sécu et CNAV'!$F6,0)*'données complémentaire'!$E$3/'données complémentaire'!$C6</f>
        <v>27.22631475639677</v>
      </c>
      <c r="F6" s="55">
        <f>MAX('Grilles et calculs individuels'!F7*'données complémentaire'!$I6-'plafond sécu et CNAV'!$F6,0)*'données complémentaire'!$E$3/'données complémentaire'!$C6</f>
        <v>3.2058478794251672</v>
      </c>
      <c r="G6" s="3" t="s">
        <v>61</v>
      </c>
      <c r="H6" s="3" t="s">
        <v>61</v>
      </c>
      <c r="I6" s="3" t="s">
        <v>61</v>
      </c>
      <c r="J6" s="55">
        <f>MAX('Grilles et calculs individuels'!J7*'données complémentaire'!$I6-'plafond sécu et CNAV'!$F6,0)*'données complémentaire'!$E$3/'données complémentaire'!$C6</f>
        <v>3.2058478794251672</v>
      </c>
    </row>
    <row r="7" spans="2:10" ht="12.75" customHeight="1">
      <c r="B7" s="10">
        <v>4</v>
      </c>
      <c r="C7" s="3" t="s">
        <v>61</v>
      </c>
      <c r="D7" s="55">
        <f>MAX('Grilles et calculs individuels'!D8*'données complémentaire'!$I7-'plafond sécu et CNAV'!$F7,0)*'données complémentaire'!$E$3/'données complémentaire'!$C7</f>
        <v>81.46662230094131</v>
      </c>
      <c r="E7" s="55">
        <f>MAX('Grilles et calculs individuels'!E8*'données complémentaire'!$I7-'plafond sécu et CNAV'!$F7,0)*'données complémentaire'!$E$3/'données complémentaire'!$C7</f>
        <v>29.809121932774776</v>
      </c>
      <c r="F7" s="55">
        <f>MAX('Grilles et calculs individuels'!F8*'données complémentaire'!$I7-'plafond sécu et CNAV'!$F7,0)*'données complémentaire'!$E$3/'données complémentaire'!$C7</f>
        <v>5.2604332822543745</v>
      </c>
      <c r="G7" s="3" t="s">
        <v>61</v>
      </c>
      <c r="H7" s="3" t="s">
        <v>61</v>
      </c>
      <c r="I7" s="3" t="s">
        <v>61</v>
      </c>
      <c r="J7" s="55">
        <f>MAX('Grilles et calculs individuels'!J8*'données complémentaire'!$I7-'plafond sécu et CNAV'!$F7,0)*'données complémentaire'!$E$3/'données complémentaire'!$C7</f>
        <v>5.2604332822543745</v>
      </c>
    </row>
    <row r="8" spans="2:10" ht="12.75" customHeight="1">
      <c r="B8" s="10">
        <v>5</v>
      </c>
      <c r="C8" s="3" t="s">
        <v>61</v>
      </c>
      <c r="D8" s="55">
        <f>MAX('Grilles et calculs individuels'!D9*'données complémentaire'!$I8-'plafond sécu et CNAV'!$F8,0)*'données complémentaire'!$E$3/'données complémentaire'!$C8</f>
        <v>81.97058985691127</v>
      </c>
      <c r="E8" s="55">
        <f>MAX('Grilles et calculs individuels'!E9*'données complémentaire'!$I8-'plafond sécu et CNAV'!$F8,0)*'données complémentaire'!$E$3/'données complémentaire'!$C8</f>
        <v>30.0574711031519</v>
      </c>
      <c r="F8" s="55">
        <f>MAX('Grilles et calculs individuels'!F9*'données complémentaire'!$I8-'plafond sécu et CNAV'!$F8,0)*'données complémentaire'!$E$3/'données complémentaire'!$C8</f>
        <v>5.38730742738744</v>
      </c>
      <c r="G8" s="3" t="s">
        <v>61</v>
      </c>
      <c r="H8" s="3" t="s">
        <v>61</v>
      </c>
      <c r="I8" s="3" t="s">
        <v>61</v>
      </c>
      <c r="J8" s="55">
        <f>MAX('Grilles et calculs individuels'!J9*'données complémentaire'!$I8-'plafond sécu et CNAV'!$F8,0)*'données complémentaire'!$E$3/'données complémentaire'!$C8</f>
        <v>5.38730742738744</v>
      </c>
    </row>
    <row r="9" spans="2:10" ht="12.75" customHeight="1">
      <c r="B9" s="10">
        <v>6</v>
      </c>
      <c r="C9" s="3" t="s">
        <v>61</v>
      </c>
      <c r="D9" s="55">
        <f>MAX('Grilles et calculs individuels'!D10*'données complémentaire'!$I9-'plafond sécu et CNAV'!$F9,0)*'données complémentaire'!$E$3/'données complémentaire'!$C9</f>
        <v>84.8904949016498</v>
      </c>
      <c r="E9" s="55">
        <f>MAX('Grilles et calculs individuels'!E10*'données complémentaire'!$I9-'plafond sécu et CNAV'!$F9,0)*'données complémentaire'!$E$3/'données complémentaire'!$C9</f>
        <v>32.4673706369928</v>
      </c>
      <c r="F9" s="55">
        <f>MAX('Grilles et calculs individuels'!F10*'données complémentaire'!$I9-'plafond sécu et CNAV'!$F9,0)*'données complémentaire'!$E$3/'données complémentaire'!$C9</f>
        <v>7.554842030524274</v>
      </c>
      <c r="G9" s="3" t="s">
        <v>61</v>
      </c>
      <c r="H9" s="3" t="s">
        <v>61</v>
      </c>
      <c r="I9" s="3" t="s">
        <v>61</v>
      </c>
      <c r="J9" s="55">
        <f>MAX('Grilles et calculs individuels'!J10*'données complémentaire'!$I9-'plafond sécu et CNAV'!$F9,0)*'données complémentaire'!$E$3/'données complémentaire'!$C9</f>
        <v>7.554842030524274</v>
      </c>
    </row>
    <row r="10" spans="2:10" ht="12.75" customHeight="1">
      <c r="B10" s="10">
        <v>7</v>
      </c>
      <c r="C10" s="3" t="s">
        <v>61</v>
      </c>
      <c r="D10" s="55">
        <f>MAX('Grilles et calculs individuels'!D11*'données complémentaire'!$I10-'plafond sécu et CNAV'!$F10,0)*'données complémentaire'!$E$3/'données complémentaire'!$C10</f>
        <v>89.91036733717883</v>
      </c>
      <c r="E10" s="55">
        <f>MAX('Grilles et calculs individuels'!E11*'données complémentaire'!$I10-'plafond sécu et CNAV'!$F10,0)*'données complémentaire'!$E$3/'données complémentaire'!$C10</f>
        <v>36.006302120493686</v>
      </c>
      <c r="F10" s="55">
        <f>MAX('Grilles et calculs individuels'!F11*'données complémentaire'!$I10-'plafond sécu et CNAV'!$F10,0)*'données complémentaire'!$E$3/'données complémentaire'!$C10</f>
        <v>10.390000430116006</v>
      </c>
      <c r="G10" s="3" t="s">
        <v>61</v>
      </c>
      <c r="H10" s="3" t="s">
        <v>61</v>
      </c>
      <c r="I10" s="3" t="s">
        <v>61</v>
      </c>
      <c r="J10" s="55">
        <f>MAX('Grilles et calculs individuels'!J11*'données complémentaire'!$I10-'plafond sécu et CNAV'!$F10,0)*'données complémentaire'!$E$3/'données complémentaire'!$C10</f>
        <v>10.390000430116006</v>
      </c>
    </row>
    <row r="11" spans="2:10" ht="12.75" customHeight="1">
      <c r="B11" s="10">
        <v>8</v>
      </c>
      <c r="C11" s="3" t="s">
        <v>61</v>
      </c>
      <c r="D11" s="55">
        <f>MAX('Grilles et calculs individuels'!D12*'données complémentaire'!$I11-'plafond sécu et CNAV'!$F11,0)*'données complémentaire'!$E$3/'données complémentaire'!$C11</f>
        <v>94.73199430000834</v>
      </c>
      <c r="E11" s="55">
        <f>MAX('Grilles et calculs individuels'!E12*'données complémentaire'!$I11-'plafond sécu et CNAV'!$F11,0)*'données complémentaire'!$E$3/'données complémentaire'!$C11</f>
        <v>39.378828293805796</v>
      </c>
      <c r="F11" s="55">
        <f>MAX('Grilles et calculs individuels'!F12*'données complémentaire'!$I11-'plafond sécu et CNAV'!$F11,0)*'données complémentaire'!$E$3/'données complémentaire'!$C11</f>
        <v>13.073884608528038</v>
      </c>
      <c r="G11" s="3" t="s">
        <v>61</v>
      </c>
      <c r="H11" s="3" t="s">
        <v>61</v>
      </c>
      <c r="I11" s="3" t="s">
        <v>61</v>
      </c>
      <c r="J11" s="55">
        <f>MAX('Grilles et calculs individuels'!J12*'données complémentaire'!$I11-'plafond sécu et CNAV'!$F11,0)*'données complémentaire'!$E$3/'données complémentaire'!$C11</f>
        <v>13.073884608528038</v>
      </c>
    </row>
    <row r="12" spans="2:10" ht="12.75" customHeight="1">
      <c r="B12" s="10">
        <v>9</v>
      </c>
      <c r="C12" s="3" t="s">
        <v>61</v>
      </c>
      <c r="D12" s="55">
        <f>MAX('Grilles et calculs individuels'!D13*'données complémentaire'!$I12-'plafond sécu et CNAV'!$F12,0)*'données complémentaire'!$E$3/'données complémentaire'!$C12</f>
        <v>97.86922053792725</v>
      </c>
      <c r="E12" s="55">
        <f>MAX('Grilles et calculs individuels'!E13*'données complémentaire'!$I12-'plafond sécu et CNAV'!$F12,0)*'données complémentaire'!$E$3/'données complémentaire'!$C12</f>
        <v>41.59181377852925</v>
      </c>
      <c r="F12" s="55">
        <f>MAX('Grilles et calculs individuels'!F13*'données complémentaire'!$I12-'plafond sécu et CNAV'!$F12,0)*'données complémentaire'!$E$3/'données complémentaire'!$C12</f>
        <v>14.847652199884353</v>
      </c>
      <c r="G12" s="3" t="s">
        <v>61</v>
      </c>
      <c r="H12" s="3" t="s">
        <v>61</v>
      </c>
      <c r="I12" s="3" t="s">
        <v>61</v>
      </c>
      <c r="J12" s="55">
        <f>MAX('Grilles et calculs individuels'!J13*'données complémentaire'!$I12-'plafond sécu et CNAV'!$F12,0)*'données complémentaire'!$E$3/'données complémentaire'!$C12</f>
        <v>14.847652199884353</v>
      </c>
    </row>
    <row r="13" spans="2:10" ht="12.75" customHeight="1">
      <c r="B13" s="10">
        <v>10</v>
      </c>
      <c r="C13" s="3" t="s">
        <v>61</v>
      </c>
      <c r="D13" s="55">
        <f>MAX('Grilles et calculs individuels'!D14*'données complémentaire'!$I13-'plafond sécu et CNAV'!$F13,0)*'données complémentaire'!$E$3/'données complémentaire'!$C13</f>
        <v>100.09650550328699</v>
      </c>
      <c r="E13" s="55">
        <f>MAX('Grilles et calculs individuels'!E14*'données complémentaire'!$I13-'plafond sécu et CNAV'!$F13,0)*'données complémentaire'!$E$3/'données complémentaire'!$C13</f>
        <v>42.95099581999106</v>
      </c>
      <c r="F13" s="55">
        <f>MAX('Grilles et calculs individuels'!F14*'données complémentaire'!$I13-'plafond sécu et CNAV'!$F13,0)*'données complémentaire'!$E$3/'données complémentaire'!$C13</f>
        <v>15.794294179525647</v>
      </c>
      <c r="G13" s="3" t="s">
        <v>61</v>
      </c>
      <c r="H13" s="3" t="s">
        <v>61</v>
      </c>
      <c r="I13" s="3" t="s">
        <v>61</v>
      </c>
      <c r="J13" s="55">
        <f>MAX('Grilles et calculs individuels'!J14*'données complémentaire'!$I13-'plafond sécu et CNAV'!$F13,0)*'données complémentaire'!$E$3/'données complémentaire'!$C13</f>
        <v>8.130587628391833</v>
      </c>
    </row>
    <row r="14" spans="2:10" ht="12.75" customHeight="1">
      <c r="B14" s="10">
        <v>11</v>
      </c>
      <c r="C14" s="3" t="s">
        <v>61</v>
      </c>
      <c r="D14" s="55">
        <f>MAX('Grilles et calculs individuels'!D15*'données complémentaire'!$I14-'plafond sécu et CNAV'!$F14,0)*'données complémentaire'!$E$3/'données complémentaire'!$C14</f>
        <v>98.87840758751346</v>
      </c>
      <c r="E14" s="55">
        <f>MAX('Grilles et calculs individuels'!E15*'données complémentaire'!$I14-'plafond sécu et CNAV'!$F14,0)*'données complémentaire'!$E$3/'données complémentaire'!$C14</f>
        <v>44.948795982782165</v>
      </c>
      <c r="F14" s="55">
        <f>MAX('Grilles et calculs individuels'!F15*'données complémentaire'!$I14-'plafond sécu et CNAV'!$F14,0)*'données complémentaire'!$E$3/'données complémentaire'!$C14</f>
        <v>17.305488618388</v>
      </c>
      <c r="G14" s="3" t="s">
        <v>61</v>
      </c>
      <c r="H14" s="3" t="s">
        <v>61</v>
      </c>
      <c r="I14" s="3" t="s">
        <v>61</v>
      </c>
      <c r="J14" s="55">
        <f>MAX('Grilles et calculs individuels'!J15*'données complémentaire'!$I14-'plafond sécu et CNAV'!$F14,0)*'données complémentaire'!$E$3/'données complémentaire'!$C14</f>
        <v>9.504460402655017</v>
      </c>
    </row>
    <row r="15" spans="2:10" ht="12.75" customHeight="1">
      <c r="B15" s="10">
        <v>12</v>
      </c>
      <c r="C15" s="3" t="s">
        <v>61</v>
      </c>
      <c r="D15" s="55">
        <f>MAX('Grilles et calculs individuels'!D16*'données complémentaire'!$I15-'plafond sécu et CNAV'!$F15,0)*'données complémentaire'!$E$3/'données complémentaire'!$C15</f>
        <v>102.16755477485204</v>
      </c>
      <c r="E15" s="55">
        <f>MAX('Grilles et calculs individuels'!E16*'données complémentaire'!$I15-'plafond sécu et CNAV'!$F15,0)*'données complémentaire'!$E$3/'données complémentaire'!$C15</f>
        <v>47.778165316121985</v>
      </c>
      <c r="F15" s="55">
        <f>MAX('Grilles et calculs individuels'!F16*'données complémentaire'!$I15-'plafond sécu et CNAV'!$F15,0)*'données complémentaire'!$E$3/'données complémentaire'!$C15</f>
        <v>19.899184447705885</v>
      </c>
      <c r="G15" s="3" t="s">
        <v>61</v>
      </c>
      <c r="H15" s="3" t="s">
        <v>61</v>
      </c>
      <c r="I15" s="3" t="s">
        <v>61</v>
      </c>
      <c r="J15" s="55">
        <f>MAX('Grilles et calculs individuels'!J16*'données complémentaire'!$I15-'plafond sécu et CNAV'!$F15,0)*'données complémentaire'!$E$3/'données complémentaire'!$C15</f>
        <v>12.031648428462232</v>
      </c>
    </row>
    <row r="16" spans="2:10" ht="12.75" customHeight="1">
      <c r="B16" s="6">
        <v>13</v>
      </c>
      <c r="C16" s="3" t="s">
        <v>61</v>
      </c>
      <c r="D16" s="55">
        <f>MAX('Grilles et calculs individuels'!D17*'données complémentaire'!$I16-'plafond sécu et CNAV'!$F16,0)*'données complémentaire'!$E$3/'données complémentaire'!$C16</f>
        <v>104.15452357394102</v>
      </c>
      <c r="E16" s="55">
        <f>MAX('Grilles et calculs individuels'!E17*'données complémentaire'!$I16-'plafond sécu et CNAV'!$F16,0)*'données complémentaire'!$E$3/'données complémentaire'!$C16</f>
        <v>49.611253073424386</v>
      </c>
      <c r="F16" s="55">
        <f>MAX('Grilles et calculs individuels'!F17*'données complémentaire'!$I16-'plafond sécu et CNAV'!$F16,0)*'données complémentaire'!$E$3/'données complémentaire'!$C16</f>
        <v>21.653395669296575</v>
      </c>
      <c r="G16" s="3" t="s">
        <v>61</v>
      </c>
      <c r="H16" s="3" t="s">
        <v>61</v>
      </c>
      <c r="I16" s="3" t="s">
        <v>61</v>
      </c>
      <c r="J16" s="55">
        <f>MAX('Grilles et calculs individuels'!J17*'données complémentaire'!$I16-'plafond sécu et CNAV'!$F16,0)*'données complémentaire'!$E$3/'données complémentaire'!$C16</f>
        <v>13.763600443781577</v>
      </c>
    </row>
    <row r="17" spans="2:10" ht="12.75" customHeight="1">
      <c r="B17" s="6">
        <v>14</v>
      </c>
      <c r="C17" s="3" t="s">
        <v>61</v>
      </c>
      <c r="D17" s="55">
        <f>MAX('Grilles et calculs individuels'!D18*'données complémentaire'!$I17-'plafond sécu et CNAV'!$F17,0)*'données complémentaire'!$E$3/'données complémentaire'!$C17</f>
        <v>95.34963758864248</v>
      </c>
      <c r="E17" s="55">
        <f>MAX('Grilles et calculs individuels'!E18*'données complémentaire'!$I17-'plafond sécu et CNAV'!$F17,0)*'données complémentaire'!$E$3/'données complémentaire'!$C17</f>
        <v>49.86754183021205</v>
      </c>
      <c r="F17" s="55">
        <f>MAX('Grilles et calculs individuels'!F18*'données complémentaire'!$I17-'plafond sécu et CNAV'!$F17,0)*'données complémentaire'!$E$3/'données complémentaire'!$C17</f>
        <v>21.891732801322988</v>
      </c>
      <c r="G17" s="3" t="s">
        <v>61</v>
      </c>
      <c r="H17" s="3" t="s">
        <v>61</v>
      </c>
      <c r="I17" s="3" t="s">
        <v>61</v>
      </c>
      <c r="J17" s="55">
        <f>MAX('Grilles et calculs individuels'!J18*'données complémentaire'!$I17-'plafond sécu et CNAV'!$F17,0)*'données complémentaire'!$E$3/'données complémentaire'!$C17</f>
        <v>13.996871570881927</v>
      </c>
    </row>
    <row r="18" spans="2:10" ht="12.75" customHeight="1">
      <c r="B18" s="6">
        <v>15</v>
      </c>
      <c r="C18" s="3" t="s">
        <v>61</v>
      </c>
      <c r="D18" s="55">
        <f>MAX('Grilles et calculs individuels'!D19*'données complémentaire'!$I18-'plafond sécu et CNAV'!$F18,0)*'données complémentaire'!$E$3/'données complémentaire'!$C18</f>
        <v>102.72292564997699</v>
      </c>
      <c r="E18" s="55">
        <f>MAX('Grilles et calculs individuels'!E19*'données complémentaire'!$I18-'plafond sécu et CNAV'!$F18,0)*'données complémentaire'!$E$3/'données complémentaire'!$C18</f>
        <v>54.28354534768311</v>
      </c>
      <c r="F18" s="55">
        <f>MAX('Grilles et calculs individuels'!F19*'données complémentaire'!$I18-'plafond sécu et CNAV'!$F18,0)*'données complémentaire'!$E$3/'données complémentaire'!$C18</f>
        <v>24.488725425306907</v>
      </c>
      <c r="G18" s="3" t="s">
        <v>61</v>
      </c>
      <c r="H18" s="3" t="s">
        <v>61</v>
      </c>
      <c r="I18" s="3" t="s">
        <v>61</v>
      </c>
      <c r="J18" s="55">
        <f>MAX('Grilles et calculs individuels'!J19*'données complémentaire'!$I18-'plafond sécu et CNAV'!$F18,0)*'données complémentaire'!$E$3/'données complémentaire'!$C18</f>
        <v>7.855119979334508</v>
      </c>
    </row>
    <row r="19" spans="2:10" ht="12.75" customHeight="1">
      <c r="B19" s="6">
        <v>16</v>
      </c>
      <c r="C19" s="3" t="s">
        <v>61</v>
      </c>
      <c r="D19" s="55">
        <f>MAX('Grilles et calculs individuels'!D20*'données complémentaire'!$I19-'plafond sécu et CNAV'!$F19,0)*'données complémentaire'!$E$3/'données complémentaire'!$C19</f>
        <v>94.1734833372823</v>
      </c>
      <c r="E19" s="55">
        <f>MAX('Grilles et calculs individuels'!E20*'données complémentaire'!$I19-'plafond sécu et CNAV'!$F19,0)*'données complémentaire'!$E$3/'données complémentaire'!$C19</f>
        <v>51.50021439507547</v>
      </c>
      <c r="F19" s="55">
        <f>MAX('Grilles et calculs individuels'!F20*'données complémentaire'!$I19-'plafond sécu et CNAV'!$F19,0)*'données complémentaire'!$E$3/'données complémentaire'!$C19</f>
        <v>18.48138211579926</v>
      </c>
      <c r="G19" s="3" t="s">
        <v>61</v>
      </c>
      <c r="H19" s="3" t="s">
        <v>61</v>
      </c>
      <c r="I19" s="3" t="s">
        <v>61</v>
      </c>
      <c r="J19" s="55">
        <f>MAX('Grilles et calculs individuels'!J20*'données complémentaire'!$I19-'plafond sécu et CNAV'!$F19,0)*'données complémentaire'!$E$3/'données complémentaire'!$C19</f>
        <v>9.792347417132993</v>
      </c>
    </row>
    <row r="20" spans="2:10" ht="12.75" customHeight="1">
      <c r="B20" s="6">
        <v>17</v>
      </c>
      <c r="C20" s="3" t="s">
        <v>61</v>
      </c>
      <c r="D20" s="55">
        <f>MAX('Grilles et calculs individuels'!D21*'données complémentaire'!$I20-'plafond sécu et CNAV'!$F20,0)*'données complémentaire'!$E$3/'données complémentaire'!$C20</f>
        <v>98.41334740736535</v>
      </c>
      <c r="E20" s="55">
        <f>MAX('Grilles et calculs individuels'!E21*'données complémentaire'!$I20-'plafond sécu et CNAV'!$F20,0)*'données complémentaire'!$E$3/'données complémentaire'!$C20</f>
        <v>54.576719637257604</v>
      </c>
      <c r="F20" s="55">
        <f>MAX('Grilles et calculs individuels'!F21*'données complémentaire'!$I20-'plafond sécu et CNAV'!$F20,0)*'données complémentaire'!$E$3/'données complémentaire'!$C20</f>
        <v>20.657727820845942</v>
      </c>
      <c r="G20" s="3" t="s">
        <v>61</v>
      </c>
      <c r="H20" s="3" t="s">
        <v>61</v>
      </c>
      <c r="I20" s="3" t="s">
        <v>61</v>
      </c>
      <c r="J20" s="55">
        <f>MAX('Grilles et calculs individuels'!J21*'données complémentaire'!$I20-'plafond sécu et CNAV'!$F20,0)*'données complémentaire'!$E$3/'données complémentaire'!$C20</f>
        <v>11.731812623609951</v>
      </c>
    </row>
    <row r="21" spans="2:10" ht="12.75" customHeight="1">
      <c r="B21" s="6">
        <v>18</v>
      </c>
      <c r="C21" s="3" t="s">
        <v>61</v>
      </c>
      <c r="D21" s="55">
        <f>MAX('Grilles et calculs individuels'!D22*'données complémentaire'!$I21-'plafond sécu et CNAV'!$F21,0)*'données complémentaire'!$E$3/'données complémentaire'!$C21</f>
        <v>115.81711784400682</v>
      </c>
      <c r="E21" s="55">
        <f>MAX('Grilles et calculs individuels'!E22*'données complémentaire'!$I21-'plafond sécu et CNAV'!$F21,0)*'données complémentaire'!$E$3/'données complémentaire'!$C21</f>
        <v>58.742575272923965</v>
      </c>
      <c r="F21" s="55">
        <f>MAX('Grilles et calculs individuels'!F22*'données complémentaire'!$I21-'plafond sécu et CNAV'!$F21,0)*'données complémentaire'!$E$3/'données complémentaire'!$C21</f>
        <v>23.252575573763494</v>
      </c>
      <c r="G21" s="3" t="s">
        <v>61</v>
      </c>
      <c r="H21" s="3" t="s">
        <v>61</v>
      </c>
      <c r="I21" s="3" t="s">
        <v>61</v>
      </c>
      <c r="J21" s="55">
        <f>MAX('Grilles et calculs individuels'!J22*'données complémentaire'!$I21-'plafond sécu et CNAV'!$F21,0)*'données complémentaire'!$E$3/'données complémentaire'!$C21</f>
        <v>13.913243515215587</v>
      </c>
    </row>
    <row r="22" spans="2:10" ht="12.75" customHeight="1">
      <c r="B22" s="6">
        <v>19</v>
      </c>
      <c r="C22" s="3" t="s">
        <v>61</v>
      </c>
      <c r="D22" s="55">
        <f>MAX('Grilles et calculs individuels'!D23*'données complémentaire'!$I22-'plafond sécu et CNAV'!$F22,0)*'données complémentaire'!$E$3/'données complémentaire'!$C22</f>
        <v>123.26895926695389</v>
      </c>
      <c r="E22" s="55">
        <f>MAX('Grilles et calculs individuels'!E23*'données complémentaire'!$I22-'plafond sécu et CNAV'!$F22,0)*'données complémentaire'!$E$3/'données complémentaire'!$C22</f>
        <v>63.66805640632735</v>
      </c>
      <c r="F22" s="55">
        <f>MAX('Grilles et calculs individuels'!F23*'données complémentaire'!$I22-'plafond sécu et CNAV'!$F22,0)*'données complémentaire'!$E$3/'données complémentaire'!$C22</f>
        <v>26.607119440272267</v>
      </c>
      <c r="G22" s="3" t="s">
        <v>61</v>
      </c>
      <c r="H22" s="3" t="s">
        <v>61</v>
      </c>
      <c r="I22" s="3" t="s">
        <v>61</v>
      </c>
      <c r="J22" s="55">
        <f>MAX('Grilles et calculs individuels'!J23*'données complémentaire'!$I22-'plafond sécu et CNAV'!$F22,0)*'données complémentaire'!$E$3/'données complémentaire'!$C22</f>
        <v>9.051643148261096</v>
      </c>
    </row>
    <row r="23" spans="2:10" ht="12.75" customHeight="1">
      <c r="B23" s="6">
        <v>20</v>
      </c>
      <c r="C23" s="3" t="s">
        <v>61</v>
      </c>
      <c r="D23" s="55">
        <f>MAX('Grilles et calculs individuels'!D24*'données complémentaire'!$I23-'plafond sécu et CNAV'!$F23,0)*'données complémentaire'!$E$3/'données complémentaire'!$C23</f>
        <v>122.16303552843489</v>
      </c>
      <c r="E23" s="55">
        <f>MAX('Grilles et calculs individuels'!E24*'données complémentaire'!$I23-'plafond sécu et CNAV'!$F23,0)*'données complémentaire'!$E$3/'données complémentaire'!$C23</f>
        <v>62.64344867900742</v>
      </c>
      <c r="F23" s="55">
        <f>MAX('Grilles et calculs individuels'!F24*'données complémentaire'!$I23-'plafond sécu et CNAV'!$F23,0)*'données complémentaire'!$E$3/'données complémentaire'!$C23</f>
        <v>25.6330755034444</v>
      </c>
      <c r="G23" s="3" t="s">
        <v>61</v>
      </c>
      <c r="H23" s="3" t="s">
        <v>61</v>
      </c>
      <c r="I23" s="3" t="s">
        <v>61</v>
      </c>
      <c r="J23" s="55">
        <f>MAX('Grilles et calculs individuels'!J24*'données complémentaire'!$I23-'plafond sécu et CNAV'!$F23,0)*'données complémentaire'!$E$3/'données complémentaire'!$C23</f>
        <v>8.101550883945714</v>
      </c>
    </row>
    <row r="24" spans="2:10" ht="12.75" customHeight="1">
      <c r="B24" s="6">
        <v>21</v>
      </c>
      <c r="C24" s="3" t="s">
        <v>61</v>
      </c>
      <c r="D24" s="55">
        <f>MAX('Grilles et calculs individuels'!D25*'données complémentaire'!$I24-'plafond sécu et CNAV'!$F24,0)*'données complémentaire'!$E$3/'données complémentaire'!$C24</f>
        <v>111.64046167406833</v>
      </c>
      <c r="E24" s="55">
        <f>MAX('Grilles et calculs individuels'!E25*'données complémentaire'!$I24-'plafond sécu et CNAV'!$F24,0)*'données complémentaire'!$E$3/'données complémentaire'!$C24</f>
        <v>53.14515951565307</v>
      </c>
      <c r="F24" s="55">
        <f>MAX('Grilles et calculs individuels'!F25*'données complémentaire'!$I24-'plafond sécu et CNAV'!$F24,0)*'données complémentaire'!$E$3/'données complémentaire'!$C24</f>
        <v>16.965175518153043</v>
      </c>
      <c r="G24" s="3" t="s">
        <v>61</v>
      </c>
      <c r="H24" s="3" t="s">
        <v>61</v>
      </c>
      <c r="I24" s="3" t="s">
        <v>61</v>
      </c>
      <c r="J24" s="55">
        <f>MAX('Grilles et calculs individuels'!J25*'données complémentaire'!$I24-'plafond sécu et CNAV'!$F24,0)*'données complémentaire'!$E$3/'données complémentaire'!$C24</f>
        <v>9.165365194993308</v>
      </c>
    </row>
    <row r="25" spans="2:10" ht="12.75" customHeight="1">
      <c r="B25" s="6">
        <v>22</v>
      </c>
      <c r="C25" s="3" t="s">
        <v>61</v>
      </c>
      <c r="D25" s="55">
        <f>MAX('Grilles et calculs individuels'!D26*'données complémentaire'!$I25-'plafond sécu et CNAV'!$F25,0)*'données complémentaire'!$E$3/'données complémentaire'!$C25</f>
        <v>110.21284596367933</v>
      </c>
      <c r="E25" s="55">
        <f>MAX('Grilles et calculs individuels'!E26*'données complémentaire'!$I25-'plafond sécu et CNAV'!$F25,0)*'données complémentaire'!$E$3/'données complémentaire'!$C25</f>
        <v>53.12191428467511</v>
      </c>
      <c r="F25" s="55">
        <f>MAX('Grilles et calculs individuels'!F26*'données complémentaire'!$I25-'plafond sécu et CNAV'!$F25,0)*'données complémentaire'!$E$3/'données complémentaire'!$C25</f>
        <v>17.810548784675085</v>
      </c>
      <c r="G25" s="3" t="s">
        <v>61</v>
      </c>
      <c r="H25" s="3" t="s">
        <v>61</v>
      </c>
      <c r="I25" s="3" t="s">
        <v>61</v>
      </c>
      <c r="J25" s="55">
        <f>MAX('Grilles et calculs individuels'!J26*'données complémentaire'!$I25-'plafond sécu et CNAV'!$F25,0)*'données complémentaire'!$E$3/'données complémentaire'!$C25</f>
        <v>10.197998343226647</v>
      </c>
    </row>
    <row r="26" spans="2:10" ht="12.75" customHeight="1">
      <c r="B26" s="6">
        <v>23</v>
      </c>
      <c r="C26" s="3" t="s">
        <v>61</v>
      </c>
      <c r="D26" s="55">
        <f>MAX('Grilles et calculs individuels'!D27*'données complémentaire'!$I26-'plafond sécu et CNAV'!$F26,0)*'données complémentaire'!$E$3/'données complémentaire'!$C26</f>
        <v>111.67912031562304</v>
      </c>
      <c r="E26" s="55">
        <f>MAX('Grilles et calculs individuels'!E27*'données complémentaire'!$I26-'plafond sécu et CNAV'!$F26,0)*'données complémentaire'!$E$3/'données complémentaire'!$C26</f>
        <v>54.79284489843849</v>
      </c>
      <c r="F26" s="55">
        <f>MAX('Grilles et calculs individuels'!F27*'données complémentaire'!$I26-'plafond sécu et CNAV'!$F26,0)*'données complémentaire'!$E$3/'données complémentaire'!$C26</f>
        <v>19.60806153417259</v>
      </c>
      <c r="G26" s="3" t="s">
        <v>61</v>
      </c>
      <c r="H26" s="3" t="s">
        <v>61</v>
      </c>
      <c r="I26" s="3" t="s">
        <v>61</v>
      </c>
      <c r="J26" s="55">
        <f>MAX('Grilles et calculs individuels'!J27*'données complémentaire'!$I26-'plafond sécu et CNAV'!$F26,0)*'données complémentaire'!$E$3/'données complémentaire'!$C26</f>
        <v>4.437993734867553</v>
      </c>
    </row>
    <row r="27" spans="2:10" ht="12.75" customHeight="1">
      <c r="B27" s="6">
        <v>24</v>
      </c>
      <c r="C27" s="3" t="s">
        <v>61</v>
      </c>
      <c r="D27" s="55">
        <f>MAX('Grilles et calculs individuels'!D28*'données complémentaire'!$I27-'plafond sécu et CNAV'!$F27,0)*'données complémentaire'!$E$3/'données complémentaire'!$C27</f>
        <v>107.63832185915442</v>
      </c>
      <c r="E27" s="55">
        <f>MAX('Grilles et calculs individuels'!E28*'données complémentaire'!$I27-'plafond sécu et CNAV'!$F27,0)*'données complémentaire'!$E$3/'données complémentaire'!$C27</f>
        <v>58.73166276965473</v>
      </c>
      <c r="F27" s="55">
        <f>MAX('Grilles et calculs individuels'!F28*'données complémentaire'!$I27-'plafond sécu et CNAV'!$F27,0)*'données complémentaire'!$E$3/'données complémentaire'!$C27</f>
        <v>23.066617462530957</v>
      </c>
      <c r="G27" s="3" t="s">
        <v>61</v>
      </c>
      <c r="H27" s="3" t="s">
        <v>61</v>
      </c>
      <c r="I27" s="3" t="s">
        <v>61</v>
      </c>
      <c r="J27" s="55">
        <f>MAX('Grilles et calculs individuels'!J28*'données complémentaire'!$I27-'plafond sécu et CNAV'!$F27,0)*'données complémentaire'!$E$3/'données complémentaire'!$C27</f>
        <v>7.689482700239311</v>
      </c>
    </row>
    <row r="28" spans="2:10" ht="12.75" customHeight="1">
      <c r="B28" s="6">
        <v>25</v>
      </c>
      <c r="C28" s="3" t="s">
        <v>61</v>
      </c>
      <c r="D28" s="55">
        <f>MAX('Grilles et calculs individuels'!D29*'données complémentaire'!$I28-'plafond sécu et CNAV'!$F28,0)*'données complémentaire'!$E$3/'données complémentaire'!$C28</f>
        <v>111.87304122420606</v>
      </c>
      <c r="E28" s="55">
        <f>MAX('Grilles et calculs individuels'!E29*'données complémentaire'!$I28-'plafond sécu et CNAV'!$F28,0)*'données complémentaire'!$E$3/'données complémentaire'!$C28</f>
        <v>51.0588198973667</v>
      </c>
      <c r="F28" s="55">
        <f>MAX('Grilles et calculs individuels'!F29*'données complémentaire'!$I28-'plafond sécu et CNAV'!$F28,0)*'données complémentaire'!$E$3/'données complémentaire'!$C28</f>
        <v>17.708797095349375</v>
      </c>
      <c r="G28" s="3" t="s">
        <v>61</v>
      </c>
      <c r="H28" s="3" t="s">
        <v>61</v>
      </c>
      <c r="I28" s="3" t="s">
        <v>61</v>
      </c>
      <c r="J28" s="55">
        <f>MAX('Grilles et calculs individuels'!J29*'données complémentaire'!$I28-'plafond sécu et CNAV'!$F28,0)*'données complémentaire'!$E$3/'données complémentaire'!$C28</f>
        <v>9.861815980691436</v>
      </c>
    </row>
    <row r="29" spans="2:10" ht="12.75" customHeight="1">
      <c r="B29" s="6">
        <v>26</v>
      </c>
      <c r="C29" s="3" t="s">
        <v>61</v>
      </c>
      <c r="D29" s="55">
        <f>MAX('Grilles et calculs individuels'!D30*'données complémentaire'!$I29-'plafond sécu et CNAV'!$F29,0)*'données complémentaire'!$E$3/'données complémentaire'!$C29</f>
        <v>116.37430137598186</v>
      </c>
      <c r="E29" s="55">
        <f>MAX('Grilles et calculs individuels'!E30*'données complémentaire'!$I29-'plafond sécu et CNAV'!$F29,0)*'données complémentaire'!$E$3/'données complémentaire'!$C29</f>
        <v>54.186101600925944</v>
      </c>
      <c r="F29" s="55">
        <f>MAX('Grilles et calculs individuels'!F30*'données complémentaire'!$I29-'plafond sécu et CNAV'!$F29,0)*'données complémentaire'!$E$3/'données complémentaire'!$C29</f>
        <v>20.082600227979725</v>
      </c>
      <c r="G29" s="3" t="s">
        <v>61</v>
      </c>
      <c r="H29" s="3" t="s">
        <v>61</v>
      </c>
      <c r="I29" s="3" t="s">
        <v>61</v>
      </c>
      <c r="J29" s="55">
        <f>MAX('Grilles et calculs individuels'!J30*'données complémentaire'!$I29-'plafond sécu et CNAV'!$F29,0)*'données complémentaire'!$E$3/'données complémentaire'!$C29</f>
        <v>5.817608751150141</v>
      </c>
    </row>
    <row r="30" spans="2:10" ht="12.75" customHeight="1">
      <c r="B30" s="6">
        <v>27</v>
      </c>
      <c r="C30" s="3" t="s">
        <v>61</v>
      </c>
      <c r="D30" s="55">
        <f>MAX('Grilles et calculs individuels'!D31*'données complémentaire'!$I30-'plafond sécu et CNAV'!$F30,0)*'données complémentaire'!$E$3/'données complémentaire'!$C30</f>
        <v>119.7656884899288</v>
      </c>
      <c r="E30" s="55">
        <f>MAX('Grilles et calculs individuels'!E31*'données complémentaire'!$I30-'plafond sécu et CNAV'!$F30,0)*'données complémentaire'!$E$3/'données complémentaire'!$C30</f>
        <v>56.29441326874229</v>
      </c>
      <c r="F30" s="55">
        <f>MAX('Grilles et calculs individuels'!F31*'données complémentaire'!$I30-'plafond sécu et CNAV'!$F30,0)*'données complémentaire'!$E$3/'données complémentaire'!$C30</f>
        <v>21.487283789547853</v>
      </c>
      <c r="G30" s="3" t="s">
        <v>61</v>
      </c>
      <c r="H30" s="3" t="s">
        <v>61</v>
      </c>
      <c r="I30" s="3" t="s">
        <v>61</v>
      </c>
      <c r="J30" s="55">
        <f>MAX('Grilles et calculs individuels'!J31*'données complémentaire'!$I30-'plafond sécu et CNAV'!$F30,0)*'données complémentaire'!$E$3/'données complémentaire'!$C30</f>
        <v>6.92797505688214</v>
      </c>
    </row>
    <row r="31" spans="2:10" ht="12.75" customHeight="1">
      <c r="B31" s="6">
        <v>28</v>
      </c>
      <c r="C31" s="3" t="s">
        <v>61</v>
      </c>
      <c r="D31" s="55">
        <f>MAX('Grilles et calculs individuels'!D32*'données complémentaire'!$I31-'plafond sécu et CNAV'!$F31,0)*'données complémentaire'!$E$3/'données complémentaire'!$C31</f>
        <v>124.26525702199123</v>
      </c>
      <c r="E31" s="55">
        <f>MAX('Grilles et calculs individuels'!E32*'données complémentaire'!$I31-'plafond sécu et CNAV'!$F31,0)*'données complémentaire'!$E$3/'données complémentaire'!$C31</f>
        <v>59.89044804306254</v>
      </c>
      <c r="F31" s="55">
        <f>MAX('Grilles et calculs individuels'!F32*'données complémentaire'!$I31-'plafond sécu et CNAV'!$F31,0)*'données complémentaire'!$E$3/'données complémentaire'!$C31</f>
        <v>24.587828022911438</v>
      </c>
      <c r="G31" s="3" t="s">
        <v>61</v>
      </c>
      <c r="H31" s="3" t="s">
        <v>61</v>
      </c>
      <c r="I31" s="3" t="s">
        <v>61</v>
      </c>
      <c r="J31" s="55">
        <f>MAX('Grilles et calculs individuels'!J32*'données complémentaire'!$I31-'plafond sécu et CNAV'!$F31,0)*'données complémentaire'!$E$3/'données complémentaire'!$C31</f>
        <v>9.821262907204574</v>
      </c>
    </row>
    <row r="32" spans="2:10" ht="12.75" customHeight="1">
      <c r="B32" s="6">
        <v>29</v>
      </c>
      <c r="C32" s="3" t="s">
        <v>61</v>
      </c>
      <c r="D32" s="55">
        <f>MAX('Grilles et calculs individuels'!D33*'données complémentaire'!$I32-'plafond sécu et CNAV'!$F32,0)*'données complémentaire'!$E$3/'données complémentaire'!$C32</f>
        <v>131.2629767861308</v>
      </c>
      <c r="E32" s="55">
        <f>MAX('Grilles et calculs individuels'!E33*'données complémentaire'!$I32-'plafond sécu et CNAV'!$F32,0)*'données complémentaire'!$E$3/'données complémentaire'!$C32</f>
        <v>53.21744829528498</v>
      </c>
      <c r="F32" s="55">
        <f>MAX('Grilles et calculs individuels'!F33*'données complémentaire'!$I32-'plafond sécu et CNAV'!$F32,0)*'données complémentaire'!$E$3/'données complémentaire'!$C32</f>
        <v>19.90473711937432</v>
      </c>
      <c r="G32" s="3" t="s">
        <v>61</v>
      </c>
      <c r="H32" s="3" t="s">
        <v>61</v>
      </c>
      <c r="I32" s="3" t="s">
        <v>61</v>
      </c>
      <c r="J32" s="55">
        <f>MAX('Grilles et calculs individuels'!J33*'données complémentaire'!$I32-'plafond sécu et CNAV'!$F32,0)*'données complémentaire'!$E$3/'données complémentaire'!$C32</f>
        <v>11.100828629351952</v>
      </c>
    </row>
    <row r="33" spans="2:10" ht="12.75" customHeight="1">
      <c r="B33" s="6">
        <v>30</v>
      </c>
      <c r="C33" s="3" t="s">
        <v>61</v>
      </c>
      <c r="D33" s="55">
        <f>MAX('Grilles et calculs individuels'!D34*'données complémentaire'!$I33-'plafond sécu et CNAV'!$F33,0)*'données complémentaire'!$E$3/'données complémentaire'!$C33</f>
        <v>125.37975121138504</v>
      </c>
      <c r="E33" s="55">
        <f>MAX('Grilles et calculs individuels'!E34*'données complémentaire'!$I33-'plafond sécu et CNAV'!$F33,0)*'données complémentaire'!$E$3/'données complémentaire'!$C33</f>
        <v>56.94327033666738</v>
      </c>
      <c r="F33" s="55">
        <f>MAX('Grilles et calculs individuels'!F34*'données complémentaire'!$I33-'plafond sécu et CNAV'!$F33,0)*'données complémentaire'!$E$3/'données complémentaire'!$C33</f>
        <v>22.846269524256662</v>
      </c>
      <c r="G33" s="3" t="s">
        <v>61</v>
      </c>
      <c r="H33" s="3" t="s">
        <v>61</v>
      </c>
      <c r="I33" s="3" t="s">
        <v>61</v>
      </c>
      <c r="J33" s="55">
        <f>MAX('Grilles et calculs individuels'!J34*'données complémentaire'!$I33-'plafond sécu et CNAV'!$F33,0)*'données complémentaire'!$E$3/'données complémentaire'!$C33</f>
        <v>13.83508837627025</v>
      </c>
    </row>
    <row r="34" spans="2:10" ht="12.75" customHeight="1">
      <c r="B34" s="6">
        <v>31</v>
      </c>
      <c r="C34" s="3" t="s">
        <v>61</v>
      </c>
      <c r="D34" s="55">
        <f>MAX('Grilles et calculs individuels'!D35*'données complémentaire'!$I34-'plafond sécu et CNAV'!$F34,0)*'données complémentaire'!$E$3/'données complémentaire'!$C34</f>
        <v>121.81713666386831</v>
      </c>
      <c r="E34" s="55">
        <f>MAX('Grilles et calculs individuels'!E35*'données complémentaire'!$I34-'plafond sécu et CNAV'!$F34,0)*'données complémentaire'!$E$3/'données complémentaire'!$C34</f>
        <v>55.13227592571152</v>
      </c>
      <c r="F34" s="55">
        <f>MAX('Grilles et calculs individuels'!F35*'données complémentaire'!$I34-'plafond sécu et CNAV'!$F34,0)*'données complémentaire'!$E$3/'données complémentaire'!$C34</f>
        <v>21.90798207391565</v>
      </c>
      <c r="G34" s="3" t="s">
        <v>61</v>
      </c>
      <c r="H34" s="3" t="s">
        <v>61</v>
      </c>
      <c r="I34" s="3" t="s">
        <v>61</v>
      </c>
      <c r="J34" s="55">
        <f>MAX('Grilles et calculs individuels'!J35*'données complémentaire'!$I34-'plafond sécu et CNAV'!$F34,0)*'données complémentaire'!$E$3/'données complémentaire'!$C34</f>
        <v>13.127440581143327</v>
      </c>
    </row>
    <row r="35" spans="2:10" ht="12.75" customHeight="1">
      <c r="B35" s="6">
        <v>32</v>
      </c>
      <c r="C35" s="3" t="s">
        <v>61</v>
      </c>
      <c r="D35" s="55">
        <f>MAX('Grilles et calculs individuels'!D36*'données complémentaire'!$I35-'plafond sécu et CNAV'!$F35,0)*'données complémentaire'!$E$3/'données complémentaire'!$C35</f>
        <v>126.25193426473464</v>
      </c>
      <c r="E35" s="55">
        <f>MAX('Grilles et calculs individuels'!E36*'données complémentaire'!$I35-'plafond sécu et CNAV'!$F35,0)*'données complémentaire'!$E$3/'données complémentaire'!$C35</f>
        <v>48.292952513793836</v>
      </c>
      <c r="F35" s="55">
        <f>MAX('Grilles et calculs individuels'!F36*'données complémentaire'!$I35-'plafond sécu et CNAV'!$F35,0)*'données complémentaire'!$E$3/'données complémentaire'!$C35</f>
        <v>17.882178475911527</v>
      </c>
      <c r="G35" s="3" t="s">
        <v>61</v>
      </c>
      <c r="H35" s="3" t="s">
        <v>61</v>
      </c>
      <c r="I35" s="3" t="s">
        <v>61</v>
      </c>
      <c r="J35" s="55">
        <f>MAX('Grilles et calculs individuels'!J36*'données complémentaire'!$I35-'plafond sécu et CNAV'!$F35,0)*'données complémentaire'!$E$3/'données complémentaire'!$C35</f>
        <v>12.57211256816387</v>
      </c>
    </row>
    <row r="36" spans="2:10" ht="12.75" customHeight="1">
      <c r="B36" s="6">
        <v>33</v>
      </c>
      <c r="C36" s="3" t="s">
        <v>61</v>
      </c>
      <c r="D36" s="55">
        <f>MAX('Grilles et calculs individuels'!D37*'données complémentaire'!$I36-'plafond sécu et CNAV'!$F36,0)*'données complémentaire'!$E$3/'données complémentaire'!$C36</f>
        <v>107.30971216527404</v>
      </c>
      <c r="E36" s="55">
        <f>MAX('Grilles et calculs individuels'!E37*'données complémentaire'!$I36-'plafond sécu et CNAV'!$F36,0)*'données complémentaire'!$E$3/'données complémentaire'!$C36</f>
        <v>52.97282821134543</v>
      </c>
      <c r="F36" s="55">
        <f>MAX('Grilles et calculs individuels'!F37*'données complémentaire'!$I36-'plafond sécu et CNAV'!$F36,0)*'données complémentaire'!$E$3/'données complémentaire'!$C36</f>
        <v>22.94499720892855</v>
      </c>
      <c r="G36" s="3" t="s">
        <v>61</v>
      </c>
      <c r="H36" s="3" t="s">
        <v>61</v>
      </c>
      <c r="I36" s="3" t="s">
        <v>61</v>
      </c>
      <c r="J36" s="55">
        <f>MAX('Grilles et calculs individuels'!J37*'données complémentaire'!$I36-'plafond sécu et CNAV'!$F36,0)*'données complémentaire'!$E$3/'données complémentaire'!$C36</f>
        <v>17.701797496520108</v>
      </c>
    </row>
    <row r="37" spans="2:10" ht="12.75" customHeight="1">
      <c r="B37" s="6">
        <v>34</v>
      </c>
      <c r="C37" s="3" t="s">
        <v>61</v>
      </c>
      <c r="D37" s="55">
        <f>MAX('Grilles et calculs individuels'!D38*'données complémentaire'!$I37-'plafond sécu et CNAV'!$F37,0)*'données complémentaire'!$E$3/'données complémentaire'!$C37</f>
        <v>106.2871161083334</v>
      </c>
      <c r="E37" s="55">
        <f>MAX('Grilles et calculs individuels'!E38*'données complémentaire'!$I37-'plafond sécu et CNAV'!$F37,0)*'données complémentaire'!$E$3/'données complémentaire'!$C37</f>
        <v>52.6299613864124</v>
      </c>
      <c r="F37" s="55">
        <f>MAX('Grilles et calculs individuels'!F38*'données complémentaire'!$I37-'plafond sécu et CNAV'!$F37,0)*'données complémentaire'!$E$3/'données complémentaire'!$C37</f>
        <v>22.977764631322486</v>
      </c>
      <c r="G37" s="3" t="s">
        <v>61</v>
      </c>
      <c r="H37" s="3" t="s">
        <v>61</v>
      </c>
      <c r="I37" s="3" t="s">
        <v>61</v>
      </c>
      <c r="J37" s="55">
        <f>MAX('Grilles et calculs individuels'!J38*'données complémentaire'!$I37-'plafond sécu et CNAV'!$F37,0)*'données complémentaire'!$E$3/'données complémentaire'!$C37</f>
        <v>14.74095860103527</v>
      </c>
    </row>
    <row r="38" spans="2:10" ht="12.75" customHeight="1">
      <c r="B38" s="6">
        <v>35</v>
      </c>
      <c r="C38" s="3" t="s">
        <v>61</v>
      </c>
      <c r="D38" s="55">
        <f>MAX('Grilles et calculs individuels'!D39*'données complémentaire'!$I38-'plafond sécu et CNAV'!$F38,0)*'données complémentaire'!$E$3/'données complémentaire'!$C38</f>
        <v>103.805131976113</v>
      </c>
      <c r="E38" s="55">
        <f>MAX('Grilles et calculs individuels'!E39*'données complémentaire'!$I38-'plafond sécu et CNAV'!$F38,0)*'données complémentaire'!$E$3/'données complémentaire'!$C38</f>
        <v>43.02237384050437</v>
      </c>
      <c r="F38" s="55">
        <f>MAX('Grilles et calculs individuels'!F39*'données complémentaire'!$I38-'plafond sécu et CNAV'!$F38,0)*'données complémentaire'!$E$3/'données complémentaire'!$C38</f>
        <v>18.943135868252583</v>
      </c>
      <c r="G38" s="3" t="s">
        <v>61</v>
      </c>
      <c r="H38" s="3" t="s">
        <v>61</v>
      </c>
      <c r="I38" s="3" t="s">
        <v>61</v>
      </c>
      <c r="J38" s="55">
        <f>MAX('Grilles et calculs individuels'!J39*'données complémentaire'!$I38-'plafond sécu et CNAV'!$F38,0)*'données complémentaire'!$E$3/'données complémentaire'!$C38</f>
        <v>0</v>
      </c>
    </row>
    <row r="39" spans="2:10" ht="12.75" customHeight="1">
      <c r="B39" s="6">
        <v>36</v>
      </c>
      <c r="C39" s="3" t="s">
        <v>61</v>
      </c>
      <c r="D39" s="55">
        <f>MAX('Grilles et calculs individuels'!D40*'données complémentaire'!$I39-'plafond sécu et CNAV'!$F39,0)*'données complémentaire'!$E$3/'données complémentaire'!$C39</f>
        <v>96.45841018879459</v>
      </c>
      <c r="E39" s="55">
        <f>MAX('Grilles et calculs individuels'!E40*'données complémentaire'!$I39-'plafond sécu et CNAV'!$F39,0)*'données complémentaire'!$E$3/'données complémentaire'!$C39</f>
        <v>44.129044575665375</v>
      </c>
      <c r="F39" s="55">
        <f>MAX('Grilles et calculs individuels'!F40*'données complémentaire'!$I39-'plafond sécu et CNAV'!$F39,0)*'données complémentaire'!$E$3/'données complémentaire'!$C39</f>
        <v>19.85023079630919</v>
      </c>
      <c r="G39" s="3" t="s">
        <v>61</v>
      </c>
      <c r="H39" s="3" t="s">
        <v>61</v>
      </c>
      <c r="I39" s="3" t="s">
        <v>61</v>
      </c>
      <c r="J39" s="55">
        <f>MAX('Grilles et calculs individuels'!J40*'données complémentaire'!$I39-'plafond sécu et CNAV'!$F39,0)*'données complémentaire'!$E$3/'données complémentaire'!$C39</f>
        <v>0</v>
      </c>
    </row>
    <row r="40" spans="2:10" ht="12.75" customHeight="1">
      <c r="B40" s="6">
        <v>37</v>
      </c>
      <c r="C40" s="3" t="s">
        <v>61</v>
      </c>
      <c r="D40" s="55">
        <f>MAX('Grilles et calculs individuels'!D41*'données complémentaire'!$I40-'plafond sécu et CNAV'!$F40,0)*'données complémentaire'!$E$3/'données complémentaire'!$C40</f>
        <v>96.44207134895922</v>
      </c>
      <c r="E40" s="55">
        <f>MAX('Grilles et calculs individuels'!E41*'données complémentaire'!$I40-'plafond sécu et CNAV'!$F40,0)*'données complémentaire'!$E$3/'données complémentaire'!$C40</f>
        <v>44.27837963370404</v>
      </c>
      <c r="F40" s="55">
        <f>MAX('Grilles et calculs individuels'!F41*'données complémentaire'!$I40-'plafond sécu et CNAV'!$F40,0)*'données complémentaire'!$E$3/'données complémentaire'!$C40</f>
        <v>20.07643217342999</v>
      </c>
      <c r="G40" s="3" t="s">
        <v>61</v>
      </c>
      <c r="H40" s="3" t="s">
        <v>61</v>
      </c>
      <c r="I40" s="3" t="s">
        <v>61</v>
      </c>
      <c r="J40" s="55">
        <f>MAX('Grilles et calculs individuels'!J41*'données complémentaire'!$I40-'plafond sécu et CNAV'!$F40,0)*'données complémentaire'!$E$3/'données complémentaire'!$C40</f>
        <v>0</v>
      </c>
    </row>
    <row r="41" spans="2:10" ht="12.75" customHeight="1">
      <c r="B41" s="6">
        <v>38</v>
      </c>
      <c r="C41" s="3" t="s">
        <v>61</v>
      </c>
      <c r="D41" s="55">
        <f>MAX('Grilles et calculs individuels'!D42*'données complémentaire'!$I41-'plafond sécu et CNAV'!$F41,0)*'données complémentaire'!$E$3/'données complémentaire'!$C41</f>
        <v>88.66699469751845</v>
      </c>
      <c r="E41" s="55">
        <f>MAX('Grilles et calculs individuels'!E42*'données complémentaire'!$I41-'plafond sécu et CNAV'!$F41,0)*'données complémentaire'!$E$3/'données complémentaire'!$C41</f>
        <v>39.626128783137716</v>
      </c>
      <c r="F41" s="55">
        <f>MAX('Grilles et calculs individuels'!F42*'données complémentaire'!$I41-'plafond sécu et CNAV'!$F41,0)*'données complémentaire'!$E$3/'données complémentaire'!$C41</f>
        <v>20.528655248521893</v>
      </c>
      <c r="G41" s="3" t="s">
        <v>61</v>
      </c>
      <c r="H41" s="3" t="s">
        <v>61</v>
      </c>
      <c r="I41" s="3" t="s">
        <v>61</v>
      </c>
      <c r="J41" s="55">
        <f>MAX('Grilles et calculs individuels'!J42*'données complémentaire'!$I41-'plafond sécu et CNAV'!$F41,0)*'données complémentaire'!$E$3/'données complémentaire'!$C41</f>
        <v>0</v>
      </c>
    </row>
    <row r="42" spans="2:10" ht="12.75" customHeight="1">
      <c r="B42" s="6">
        <v>39</v>
      </c>
      <c r="C42" s="3" t="s">
        <v>61</v>
      </c>
      <c r="D42" s="55">
        <f>MAX('Grilles et calculs individuels'!D43*'données complémentaire'!$I42-'plafond sécu et CNAV'!$F42,0)*'données complémentaire'!$E$3/'données complémentaire'!$C42</f>
        <v>91.3101038190137</v>
      </c>
      <c r="E42" s="55">
        <f>MAX('Grilles et calculs individuels'!E43*'données complémentaire'!$I42-'plafond sécu et CNAV'!$F42,0)*'données complémentaire'!$E$3/'données complémentaire'!$C42</f>
        <v>42.44422868134383</v>
      </c>
      <c r="F42" s="55">
        <f>MAX('Grilles et calculs individuels'!F43*'données complémentaire'!$I42-'plafond sécu et CNAV'!$F42,0)*'données complémentaire'!$E$3/'données complémentaire'!$C42</f>
        <v>23.414899981953212</v>
      </c>
      <c r="G42" s="3" t="s">
        <v>61</v>
      </c>
      <c r="H42" s="3" t="s">
        <v>61</v>
      </c>
      <c r="I42" s="3" t="s">
        <v>61</v>
      </c>
      <c r="J42" s="55">
        <f>MAX('Grilles et calculs individuels'!J43*'données complémentaire'!$I42-'plafond sécu et CNAV'!$F42,0)*'données complémentaire'!$E$3/'données complémentaire'!$C42</f>
        <v>0</v>
      </c>
    </row>
    <row r="43" spans="2:10" ht="12.75" customHeight="1">
      <c r="B43" s="6">
        <v>40</v>
      </c>
      <c r="C43" s="3" t="s">
        <v>61</v>
      </c>
      <c r="D43" s="55">
        <f>MAX('Grilles et calculs individuels'!D44*'données complémentaire'!$I43-'plafond sécu et CNAV'!$F43,0)*'données complémentaire'!$E$3/'données complémentaire'!$C43</f>
        <v>87.49926650559263</v>
      </c>
      <c r="E43" s="55">
        <f>MAX('Grilles et calculs individuels'!E44*'données complémentaire'!$I43-'plafond sécu et CNAV'!$F43,0)*'données complémentaire'!$E$3/'données complémentaire'!$C43</f>
        <v>38.03009617854508</v>
      </c>
      <c r="F43" s="55">
        <f>MAX('Grilles et calculs individuels'!F44*'données complémentaire'!$I43-'plafond sécu et CNAV'!$F43,0)*'données complémentaire'!$E$3/'données complémentaire'!$C43</f>
        <v>24.408487330365798</v>
      </c>
      <c r="G43" s="3" t="s">
        <v>61</v>
      </c>
      <c r="H43" s="3" t="s">
        <v>61</v>
      </c>
      <c r="I43" s="3" t="s">
        <v>61</v>
      </c>
      <c r="J43" s="55">
        <f>MAX('Grilles et calculs individuels'!J44*'données complémentaire'!$I43-'plafond sécu et CNAV'!$F43,0)*'données complémentaire'!$E$3/'données complémentaire'!$C43</f>
        <v>0</v>
      </c>
    </row>
    <row r="44" spans="2:10" ht="12.75" customHeight="1">
      <c r="B44" s="6">
        <v>41</v>
      </c>
      <c r="C44" s="3" t="s">
        <v>61</v>
      </c>
      <c r="D44" s="55">
        <f>MAX('Grilles et calculs individuels'!D45*'données complémentaire'!$I44-'plafond sécu et CNAV'!$F44,0)*'données complémentaire'!$E$3/'données complémentaire'!$C44</f>
        <v>86.86677606096612</v>
      </c>
      <c r="E44" s="55">
        <f>MAX('Grilles et calculs individuels'!E45*'données complémentaire'!$I44-'plafond sécu et CNAV'!$F44,0)*'données complémentaire'!$E$3/'données complémentaire'!$C44</f>
        <v>21.725513138194408</v>
      </c>
      <c r="F44" s="55">
        <f>MAX('Grilles et calculs individuels'!F45*'données complémentaire'!$I44-'plafond sécu et CNAV'!$F44,0)*'données complémentaire'!$E$3/'données complémentaire'!$C44</f>
        <v>9.25528336185905</v>
      </c>
      <c r="G44" s="3" t="s">
        <v>61</v>
      </c>
      <c r="H44" s="3" t="s">
        <v>61</v>
      </c>
      <c r="I44" s="3" t="s">
        <v>61</v>
      </c>
      <c r="J44" s="55">
        <f>MAX('Grilles et calculs individuels'!J45*'données complémentaire'!$I44-'plafond sécu et CNAV'!$F44,0)*'données complémentaire'!$E$3/'données complémentaire'!$C44</f>
        <v>0</v>
      </c>
    </row>
    <row r="45" spans="2:10" ht="12.75" customHeight="1">
      <c r="B45" s="6">
        <v>42</v>
      </c>
      <c r="C45" s="3" t="s">
        <v>61</v>
      </c>
      <c r="D45" s="55">
        <f>MAX('Grilles et calculs individuels'!D46*'données complémentaire'!$I45-'plafond sécu et CNAV'!$F45,0)*'données complémentaire'!$E$3/'données complémentaire'!$C45</f>
        <v>79.58283947166784</v>
      </c>
      <c r="E45" s="55">
        <f>MAX('Grilles et calculs individuels'!E46*'données complémentaire'!$I45-'plafond sécu et CNAV'!$F45,0)*'données complémentaire'!$E$3/'données complémentaire'!$C45</f>
        <v>0</v>
      </c>
      <c r="F45" s="55">
        <f>MAX('Grilles et calculs individuels'!F46*'données complémentaire'!$I45-'plafond sécu et CNAV'!$F45,0)*'données complémentaire'!$E$3/'données complémentaire'!$C45</f>
        <v>0</v>
      </c>
      <c r="G45" s="3" t="s">
        <v>61</v>
      </c>
      <c r="H45" s="3" t="s">
        <v>61</v>
      </c>
      <c r="I45" s="3" t="s">
        <v>61</v>
      </c>
      <c r="J45" s="56">
        <f>MAX('Grilles et calculs individuels'!J45*'données complémentaire'!$I45-'plafond sécu et CNAV'!$F45,0)*'données complémentaire'!$E$3/'données complémentaire'!$C45</f>
        <v>0</v>
      </c>
    </row>
    <row r="46" spans="2:10" ht="12.75" customHeight="1">
      <c r="B46" s="3" t="s">
        <v>62</v>
      </c>
      <c r="C46" s="3" t="s">
        <v>61</v>
      </c>
      <c r="D46" s="54">
        <f>SUM(D3:D45)</f>
        <v>4342.268942046707</v>
      </c>
      <c r="E46" s="54">
        <f>SUM(E3:E45)</f>
        <v>1917.5252464229407</v>
      </c>
      <c r="F46" s="54">
        <f>SUM(F3:F45)</f>
        <v>722.1322491212084</v>
      </c>
      <c r="G46" s="3" t="s">
        <v>61</v>
      </c>
      <c r="H46" s="3" t="s">
        <v>61</v>
      </c>
      <c r="I46" s="3" t="s">
        <v>61</v>
      </c>
      <c r="J46" s="54">
        <f>SUM(J3:J45)</f>
        <v>325.0801962592284</v>
      </c>
    </row>
    <row r="47" spans="2:10" ht="12.75" customHeight="1">
      <c r="B47" s="3" t="s">
        <v>63</v>
      </c>
      <c r="C47" s="3">
        <v>0</v>
      </c>
      <c r="D47" s="54">
        <f>D46*0.4352</f>
        <v>1889.755443578727</v>
      </c>
      <c r="E47" s="54">
        <f>E46*0.4352</f>
        <v>834.5069872432638</v>
      </c>
      <c r="F47" s="54">
        <f>F46*0.4352</f>
        <v>314.2719548175499</v>
      </c>
      <c r="G47" s="3">
        <v>0</v>
      </c>
      <c r="H47" s="3">
        <v>0</v>
      </c>
      <c r="I47" s="3">
        <v>0</v>
      </c>
      <c r="J47" s="54">
        <f>J46*0.4352</f>
        <v>141.4749014120162</v>
      </c>
    </row>
    <row r="50" ht="12.75" customHeight="1">
      <c r="B50" t="s">
        <v>64</v>
      </c>
    </row>
    <row r="51" ht="12.75" customHeight="1">
      <c r="B51" t="s">
        <v>65</v>
      </c>
    </row>
    <row r="52" ht="12.75" customHeight="1">
      <c r="B52" t="s">
        <v>66</v>
      </c>
    </row>
    <row r="53" ht="12.75" customHeight="1">
      <c r="B53" t="s">
        <v>67</v>
      </c>
    </row>
    <row r="54" ht="12.75" customHeight="1">
      <c r="B54" t="s">
        <v>68</v>
      </c>
    </row>
    <row r="55" ht="12.75" customHeight="1">
      <c r="B55" t="s">
        <v>69</v>
      </c>
    </row>
  </sheetData>
  <sheetProtection password="9CD6" sheet="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C1:Q48"/>
  <sheetViews>
    <sheetView tabSelected="1" workbookViewId="0" topLeftCell="E28">
      <selection activeCell="J47" sqref="J47"/>
    </sheetView>
  </sheetViews>
  <sheetFormatPr defaultColWidth="11.421875" defaultRowHeight="12.75" customHeight="1"/>
  <cols>
    <col min="1" max="5" width="11.57421875" style="0" customWidth="1"/>
    <col min="6" max="6" width="11.57421875" style="57" customWidth="1"/>
    <col min="7" max="7" width="19.140625" style="35" customWidth="1"/>
    <col min="8" max="8" width="11.57421875" style="0" customWidth="1"/>
    <col min="9" max="9" width="24.421875" style="0" customWidth="1"/>
    <col min="10" max="10" width="18.140625" style="1" customWidth="1"/>
    <col min="11" max="11" width="15.421875" style="1" customWidth="1"/>
    <col min="12" max="12" width="16.7109375" style="1" customWidth="1"/>
    <col min="13" max="16" width="11.57421875" style="1" customWidth="1"/>
    <col min="17" max="16384" width="11.57421875" style="0" customWidth="1"/>
  </cols>
  <sheetData>
    <row r="1" spans="3:9" ht="12.75" customHeight="1">
      <c r="C1" t="s">
        <v>70</v>
      </c>
      <c r="I1" t="s">
        <v>71</v>
      </c>
    </row>
    <row r="2" spans="3:17" ht="12.75" customHeight="1">
      <c r="C2" t="s">
        <v>72</v>
      </c>
      <c r="E2" t="s">
        <v>73</v>
      </c>
      <c r="F2" s="57" t="s">
        <v>74</v>
      </c>
      <c r="G2" s="35" t="s">
        <v>75</v>
      </c>
      <c r="I2" s="3" t="s">
        <v>56</v>
      </c>
      <c r="J2" s="4" t="s">
        <v>3</v>
      </c>
      <c r="K2" s="4" t="s">
        <v>57</v>
      </c>
      <c r="L2" s="4" t="s">
        <v>5</v>
      </c>
      <c r="M2" s="4" t="s">
        <v>6</v>
      </c>
      <c r="N2" s="4" t="s">
        <v>58</v>
      </c>
      <c r="O2" s="4" t="s">
        <v>59</v>
      </c>
      <c r="P2" s="4" t="s">
        <v>60</v>
      </c>
      <c r="Q2" s="3" t="s">
        <v>10</v>
      </c>
    </row>
    <row r="3" spans="3:17" ht="12.75" customHeight="1">
      <c r="C3" s="58">
        <v>41640</v>
      </c>
      <c r="D3" s="58">
        <v>42004</v>
      </c>
      <c r="E3">
        <v>37548</v>
      </c>
      <c r="F3" s="57">
        <f aca="true" t="shared" si="0" ref="F3:F15">E3/12</f>
        <v>3129</v>
      </c>
      <c r="G3" s="35">
        <v>1</v>
      </c>
      <c r="I3" s="10">
        <v>0</v>
      </c>
      <c r="J3" s="59">
        <f>MIN($F3,'Grilles et calculs individuels'!C4*'données complémentaire'!$I3)*$G3</f>
        <v>2384.6</v>
      </c>
      <c r="K3" s="59">
        <f>MIN($F3,'Grilles et calculs individuels'!D4*'données complémentaire'!$I3)*$G3</f>
        <v>3129</v>
      </c>
      <c r="L3" s="59">
        <f>MIN($F3,'Grilles et calculs individuels'!E4*'données complémentaire'!$I3)*$G3</f>
        <v>3129</v>
      </c>
      <c r="M3" s="59">
        <f>MIN($F3,'Grilles et calculs individuels'!F4*'données complémentaire'!$I3)*$G3</f>
        <v>3046.73</v>
      </c>
      <c r="N3" s="59">
        <f>MIN($F3,'Grilles et calculs individuels'!G4*'données complémentaire'!$I3)*$G3</f>
        <v>1861.38</v>
      </c>
      <c r="O3" s="59">
        <f>MIN($F3,'Grilles et calculs individuels'!H4*'données complémentaire'!$I3)*$G3</f>
        <v>1861.38</v>
      </c>
      <c r="P3" s="59">
        <f>MIN($F3,'Grilles et calculs individuels'!I4*'données complémentaire'!$I3)*$G3</f>
        <v>1861.38</v>
      </c>
      <c r="Q3" s="59">
        <f>MIN($F3,'Grilles et calculs individuels'!J4*'données complémentaire'!$I3)*$G3</f>
        <v>3046.73</v>
      </c>
    </row>
    <row r="4" spans="3:17" ht="12.75" customHeight="1">
      <c r="C4" s="58">
        <v>41275</v>
      </c>
      <c r="D4" s="58">
        <v>41639</v>
      </c>
      <c r="E4">
        <v>37032</v>
      </c>
      <c r="F4" s="57">
        <f t="shared" si="0"/>
        <v>3086</v>
      </c>
      <c r="G4" s="35">
        <v>1.013</v>
      </c>
      <c r="I4" s="10">
        <v>1</v>
      </c>
      <c r="J4" s="59">
        <f>MIN($F4,'Grilles et calculs individuels'!C5*'données complémentaire'!$I4)*$G4</f>
        <v>2415.5997999999995</v>
      </c>
      <c r="K4" s="59">
        <f>MIN($F4,'Grilles et calculs individuels'!D5*'données complémentaire'!$I4)*$G4</f>
        <v>3126.1179999999995</v>
      </c>
      <c r="L4" s="59">
        <f>MIN($F4,'Grilles et calculs individuels'!E5*'données complémentaire'!$I4)*$G4</f>
        <v>3126.1179999999995</v>
      </c>
      <c r="M4" s="59">
        <f>MIN($F4,'Grilles et calculs individuels'!F5*'données complémentaire'!$I4)*$G4</f>
        <v>3086.33749</v>
      </c>
      <c r="N4" s="59">
        <f>MIN($F4,'Grilles et calculs individuels'!G5*'données complémentaire'!$I4)*$G4</f>
        <v>1885.57794</v>
      </c>
      <c r="O4" s="59">
        <f>MIN($F4,'Grilles et calculs individuels'!H5*'données complémentaire'!$I4)*$G4</f>
        <v>1885.57794</v>
      </c>
      <c r="P4" s="59">
        <f>MIN($F4,'Grilles et calculs individuels'!I5*'données complémentaire'!$I4)*$G4</f>
        <v>1885.57794</v>
      </c>
      <c r="Q4" s="59">
        <f>MIN($F4,'Grilles et calculs individuels'!J5*'données complémentaire'!$I4)*$G4</f>
        <v>3086.33749</v>
      </c>
    </row>
    <row r="5" spans="3:17" ht="12.75" customHeight="1">
      <c r="C5" s="58">
        <v>40909</v>
      </c>
      <c r="D5" s="58">
        <v>41274</v>
      </c>
      <c r="E5">
        <v>36372</v>
      </c>
      <c r="F5" s="57">
        <f t="shared" si="0"/>
        <v>3031</v>
      </c>
      <c r="G5" s="35">
        <v>1.021</v>
      </c>
      <c r="H5" s="57"/>
      <c r="I5" s="10">
        <v>2</v>
      </c>
      <c r="J5" s="59">
        <f>MIN($F5,'Grilles et calculs individuels'!C6*'données complémentaire'!$I5)*$G5</f>
        <v>2434.6766</v>
      </c>
      <c r="K5" s="59">
        <f>MIN($F5,'Grilles et calculs individuels'!D6*'données complémentaire'!$I5)*$G5</f>
        <v>3094.651</v>
      </c>
      <c r="L5" s="59">
        <f>MIN($F5,'Grilles et calculs individuels'!E6*'données complémentaire'!$I5)*$G5</f>
        <v>3094.651</v>
      </c>
      <c r="M5" s="59">
        <f>MIN($F5,'Grilles et calculs individuels'!F6*'données complémentaire'!$I5)*$G5</f>
        <v>3094.651</v>
      </c>
      <c r="N5" s="59">
        <f>MIN($F5,'Grilles et calculs individuels'!G6*'données complémentaire'!$I5)*$G5</f>
        <v>1900.4689799999999</v>
      </c>
      <c r="O5" s="59">
        <f>MIN($F5,'Grilles et calculs individuels'!H6*'données complémentaire'!$I5)*$G5</f>
        <v>1900.4689799999999</v>
      </c>
      <c r="P5" s="59">
        <f>MIN($F5,'Grilles et calculs individuels'!I6*'données complémentaire'!$I5)*$G5</f>
        <v>1900.4689799999999</v>
      </c>
      <c r="Q5" s="59">
        <f>MIN($F5,'Grilles et calculs individuels'!J6*'données complémentaire'!$I5)*$G5</f>
        <v>3094.651</v>
      </c>
    </row>
    <row r="6" spans="3:17" ht="12.75" customHeight="1">
      <c r="C6" s="58">
        <v>40544</v>
      </c>
      <c r="D6" s="58">
        <v>40908</v>
      </c>
      <c r="E6">
        <v>35352</v>
      </c>
      <c r="F6" s="57">
        <f t="shared" si="0"/>
        <v>2946</v>
      </c>
      <c r="G6" s="35">
        <v>1.021</v>
      </c>
      <c r="H6" s="57"/>
      <c r="I6" s="10">
        <v>3</v>
      </c>
      <c r="J6" s="59">
        <f>MIN($F6,'Grilles et calculs individuels'!C7*'données complémentaire'!$I6)*$G6</f>
        <v>2434.6766</v>
      </c>
      <c r="K6" s="59">
        <f>MIN($F6,'Grilles et calculs individuels'!D7*'données complémentaire'!$I6)*$G6</f>
        <v>3007.8659999999995</v>
      </c>
      <c r="L6" s="59">
        <f>MIN($F6,'Grilles et calculs individuels'!E7*'données complémentaire'!$I6)*$G6</f>
        <v>3007.8659999999995</v>
      </c>
      <c r="M6" s="59">
        <f>MIN($F6,'Grilles et calculs individuels'!F7*'données complémentaire'!$I6)*$G6</f>
        <v>3007.8659999999995</v>
      </c>
      <c r="N6" s="59">
        <f>MIN($F6,'Grilles et calculs individuels'!G7*'données complémentaire'!$I6)*$G6</f>
        <v>1900.4689799999999</v>
      </c>
      <c r="O6" s="59">
        <f>MIN($F6,'Grilles et calculs individuels'!H7*'données complémentaire'!$I6)*$G6</f>
        <v>1900.4689799999999</v>
      </c>
      <c r="P6" s="59">
        <f>MIN($F6,'Grilles et calculs individuels'!I7*'données complémentaire'!$I6)*$G6</f>
        <v>1900.4689799999999</v>
      </c>
      <c r="Q6" s="59">
        <f>MIN($F6,'Grilles et calculs individuels'!J7*'données complémentaire'!$I6)*$G6</f>
        <v>3007.8659999999995</v>
      </c>
    </row>
    <row r="7" spans="3:17" ht="12.75" customHeight="1">
      <c r="C7" s="58">
        <v>40179</v>
      </c>
      <c r="D7" s="58">
        <v>40543</v>
      </c>
      <c r="E7">
        <v>34620</v>
      </c>
      <c r="F7" s="57">
        <f t="shared" si="0"/>
        <v>2885</v>
      </c>
      <c r="G7" s="35">
        <v>1.03</v>
      </c>
      <c r="H7" s="57"/>
      <c r="I7" s="10">
        <v>4</v>
      </c>
      <c r="J7" s="59">
        <f>MIN($F7,'Grilles et calculs individuels'!C8*'données complémentaire'!$I7)*$G7</f>
        <v>2456.138</v>
      </c>
      <c r="K7" s="59">
        <f>MIN($F7,'Grilles et calculs individuels'!D8*'données complémentaire'!$I7)*$G7</f>
        <v>2971.55</v>
      </c>
      <c r="L7" s="59">
        <f>MIN($F7,'Grilles et calculs individuels'!E8*'données complémentaire'!$I7)*$G7</f>
        <v>2971.55</v>
      </c>
      <c r="M7" s="59">
        <f>MIN($F7,'Grilles et calculs individuels'!F8*'données complémentaire'!$I7)*$G7</f>
        <v>2971.55</v>
      </c>
      <c r="N7" s="59">
        <f>MIN($F7,'Grilles et calculs individuels'!G8*'données complémentaire'!$I7)*$G7</f>
        <v>1917.2214000000001</v>
      </c>
      <c r="O7" s="59">
        <f>MIN($F7,'Grilles et calculs individuels'!H8*'données complémentaire'!$I7)*$G7</f>
        <v>1917.2214000000001</v>
      </c>
      <c r="P7" s="59">
        <f>MIN($F7,'Grilles et calculs individuels'!I8*'données complémentaire'!$I7)*$G7</f>
        <v>1917.2214000000001</v>
      </c>
      <c r="Q7" s="59">
        <f>MIN($F7,'Grilles et calculs individuels'!J8*'données complémentaire'!$I7)*$G7</f>
        <v>2971.55</v>
      </c>
    </row>
    <row r="8" spans="3:17" ht="12.75" customHeight="1">
      <c r="C8" s="58">
        <v>39814</v>
      </c>
      <c r="D8" s="58">
        <v>40178</v>
      </c>
      <c r="E8">
        <v>34308</v>
      </c>
      <c r="F8" s="57">
        <f t="shared" si="0"/>
        <v>2859</v>
      </c>
      <c r="G8" s="35">
        <v>1.04</v>
      </c>
      <c r="H8" s="57"/>
      <c r="I8" s="10">
        <v>5</v>
      </c>
      <c r="J8" s="59">
        <f>MIN($F8,'Grilles et calculs individuels'!C9*'données complémentaire'!$I8)*$G8</f>
        <v>2460.2649950561067</v>
      </c>
      <c r="K8" s="59">
        <f>MIN($F8,'Grilles et calculs individuels'!D9*'données complémentaire'!$I8)*$G8</f>
        <v>2973.36</v>
      </c>
      <c r="L8" s="59">
        <f>MIN($F8,'Grilles et calculs individuels'!E9*'données complémentaire'!$I8)*$G8</f>
        <v>2973.36</v>
      </c>
      <c r="M8" s="59">
        <f>MIN($F8,'Grilles et calculs individuels'!F9*'données complémentaire'!$I8)*$G8</f>
        <v>2973.36</v>
      </c>
      <c r="N8" s="59">
        <f>MIN($F8,'Grilles et calculs individuels'!G9*'données complémentaire'!$I8)*$G8</f>
        <v>1920.4428652593879</v>
      </c>
      <c r="O8" s="59">
        <f>MIN($F8,'Grilles et calculs individuels'!H9*'données complémentaire'!$I8)*$G8</f>
        <v>1920.4428652593879</v>
      </c>
      <c r="P8" s="59">
        <f>MIN($F8,'Grilles et calculs individuels'!I9*'données complémentaire'!$I8)*$G8</f>
        <v>1920.4428652593879</v>
      </c>
      <c r="Q8" s="59">
        <f>MIN($F8,'Grilles et calculs individuels'!J9*'données complémentaire'!$I8)*$G8</f>
        <v>2973.36</v>
      </c>
    </row>
    <row r="9" spans="3:17" ht="12.75" customHeight="1">
      <c r="C9" s="58">
        <v>39448</v>
      </c>
      <c r="D9" s="58">
        <v>39813</v>
      </c>
      <c r="E9">
        <v>33276</v>
      </c>
      <c r="F9" s="57">
        <f t="shared" si="0"/>
        <v>2773</v>
      </c>
      <c r="G9" s="35">
        <v>1.048</v>
      </c>
      <c r="H9" s="57"/>
      <c r="I9" s="10">
        <v>6</v>
      </c>
      <c r="J9" s="59">
        <f>MIN($F9,'Grilles et calculs individuels'!C10*'données complémentaire'!$I9)*$G9</f>
        <v>2459.283439475195</v>
      </c>
      <c r="K9" s="59">
        <f>MIN($F9,'Grilles et calculs individuels'!D10*'données complémentaire'!$I9)*$G9</f>
        <v>2906.1040000000003</v>
      </c>
      <c r="L9" s="59">
        <f>MIN($F9,'Grilles et calculs individuels'!E10*'données complémentaire'!$I9)*$G9</f>
        <v>2906.1040000000003</v>
      </c>
      <c r="M9" s="59">
        <f>MIN($F9,'Grilles et calculs individuels'!F10*'données complémentaire'!$I9)*$G9</f>
        <v>2906.1040000000003</v>
      </c>
      <c r="N9" s="59">
        <f>MIN($F9,'Grilles et calculs individuels'!G10*'données complémentaire'!$I9)*$G9</f>
        <v>1919.6766789274257</v>
      </c>
      <c r="O9" s="59">
        <f>MIN($F9,'Grilles et calculs individuels'!H10*'données complémentaire'!$I9)*$G9</f>
        <v>1919.6766789274257</v>
      </c>
      <c r="P9" s="59">
        <f>MIN($F9,'Grilles et calculs individuels'!I10*'données complémentaire'!$I9)*$G9</f>
        <v>1919.6766789274257</v>
      </c>
      <c r="Q9" s="59">
        <f>MIN($F9,'Grilles et calculs individuels'!J10*'données complémentaire'!$I9)*$G9</f>
        <v>2906.1040000000003</v>
      </c>
    </row>
    <row r="10" spans="3:17" ht="12.75" customHeight="1">
      <c r="C10" s="58">
        <v>39083</v>
      </c>
      <c r="D10" s="58">
        <v>39447</v>
      </c>
      <c r="E10">
        <v>32184</v>
      </c>
      <c r="F10" s="57">
        <f t="shared" si="0"/>
        <v>2682</v>
      </c>
      <c r="G10" s="35">
        <v>1.059</v>
      </c>
      <c r="H10" s="57"/>
      <c r="I10" s="10">
        <v>7</v>
      </c>
      <c r="J10" s="59">
        <f>MIN($F10,'Grilles et calculs individuels'!C11*'données complémentaire'!$I10)*$G10</f>
        <v>2471.289199967964</v>
      </c>
      <c r="K10" s="59">
        <f>MIN($F10,'Grilles et calculs individuels'!D11*'données complémentaire'!$I10)*$G10</f>
        <v>2840.238</v>
      </c>
      <c r="L10" s="59">
        <f>MIN($F10,'Grilles et calculs individuels'!E11*'données complémentaire'!$I10)*$G10</f>
        <v>2840.238</v>
      </c>
      <c r="M10" s="59">
        <f>MIN($F10,'Grilles et calculs individuels'!F11*'données complémentaire'!$I10)*$G10</f>
        <v>2840.238</v>
      </c>
      <c r="N10" s="59">
        <f>MIN($F10,'Grilles et calculs individuels'!G11*'données complémentaire'!$I10)*$G10</f>
        <v>1929.0481804228675</v>
      </c>
      <c r="O10" s="59">
        <f>MIN($F10,'Grilles et calculs individuels'!H11*'données complémentaire'!$I10)*$G10</f>
        <v>1929.0481804228675</v>
      </c>
      <c r="P10" s="59">
        <f>MIN($F10,'Grilles et calculs individuels'!I11*'données complémentaire'!$I10)*$G10</f>
        <v>1929.0481804228675</v>
      </c>
      <c r="Q10" s="59">
        <f>MIN($F10,'Grilles et calculs individuels'!J11*'données complémentaire'!$I10)*$G10</f>
        <v>2840.238</v>
      </c>
    </row>
    <row r="11" spans="3:17" ht="12.75" customHeight="1">
      <c r="C11" s="58">
        <v>38718</v>
      </c>
      <c r="D11" s="58">
        <v>39082</v>
      </c>
      <c r="E11">
        <v>31068</v>
      </c>
      <c r="F11" s="57">
        <f t="shared" si="0"/>
        <v>2589</v>
      </c>
      <c r="G11" s="35">
        <v>1.078</v>
      </c>
      <c r="H11" s="57"/>
      <c r="I11" s="10">
        <v>8</v>
      </c>
      <c r="J11" s="59">
        <f>MIN($F11,'Grilles et calculs individuels'!C12*'données complémentaire'!$I11)*$G11</f>
        <v>2491.1077157781638</v>
      </c>
      <c r="K11" s="59">
        <f>MIN($F11,'Grilles et calculs individuels'!D12*'données complémentaire'!$I11)*$G11</f>
        <v>2790.942</v>
      </c>
      <c r="L11" s="59">
        <f>MIN($F11,'Grilles et calculs individuels'!E12*'données complémentaire'!$I11)*$G11</f>
        <v>2790.942</v>
      </c>
      <c r="M11" s="59">
        <f>MIN($F11,'Grilles et calculs individuels'!F12*'données complémentaire'!$I11)*$G11</f>
        <v>2790.942</v>
      </c>
      <c r="N11" s="59">
        <f>MIN($F11,'Grilles et calculs individuels'!G12*'données complémentaire'!$I11)*$G11</f>
        <v>1944.5181917282391</v>
      </c>
      <c r="O11" s="59">
        <f>MIN($F11,'Grilles et calculs individuels'!H12*'données complémentaire'!$I11)*$G11</f>
        <v>1944.5181917282391</v>
      </c>
      <c r="P11" s="59">
        <f>MIN($F11,'Grilles et calculs individuels'!I12*'données complémentaire'!$I11)*$G11</f>
        <v>1944.5181917282391</v>
      </c>
      <c r="Q11" s="59">
        <f>MIN($F11,'Grilles et calculs individuels'!J12*'données complémentaire'!$I11)*$G11</f>
        <v>2790.942</v>
      </c>
    </row>
    <row r="12" spans="3:17" ht="12.75" customHeight="1">
      <c r="C12" s="58">
        <v>38353</v>
      </c>
      <c r="D12" s="58">
        <v>38717</v>
      </c>
      <c r="E12">
        <v>30192</v>
      </c>
      <c r="F12" s="57">
        <f t="shared" si="0"/>
        <v>2516</v>
      </c>
      <c r="G12" s="35">
        <v>1.096</v>
      </c>
      <c r="H12" s="57"/>
      <c r="I12" s="10">
        <v>9</v>
      </c>
      <c r="J12" s="59">
        <f>MIN($F12,'Grilles et calculs individuels'!C13*'données complémentaire'!$I12)*$G12</f>
        <v>2502.4068920409986</v>
      </c>
      <c r="K12" s="59">
        <f>MIN($F12,'Grilles et calculs individuels'!D13*'données complémentaire'!$I12)*$G12</f>
        <v>2757.536</v>
      </c>
      <c r="L12" s="59">
        <f>MIN($F12,'Grilles et calculs individuels'!E13*'données complémentaire'!$I12)*$G12</f>
        <v>2757.536</v>
      </c>
      <c r="M12" s="59">
        <f>MIN($F12,'Grilles et calculs individuels'!F13*'données complémentaire'!$I12)*$G12</f>
        <v>2757.536</v>
      </c>
      <c r="N12" s="59">
        <f>MIN($F12,'Grilles et calculs individuels'!G13*'données complémentaire'!$I12)*$G12</f>
        <v>1953.3381450588251</v>
      </c>
      <c r="O12" s="59">
        <f>MIN($F12,'Grilles et calculs individuels'!H13*'données complémentaire'!$I12)*$G12</f>
        <v>1953.3381450588251</v>
      </c>
      <c r="P12" s="59">
        <f>MIN($F12,'Grilles et calculs individuels'!I13*'données complémentaire'!$I12)*$G12</f>
        <v>1953.3381450588251</v>
      </c>
      <c r="Q12" s="59">
        <f>MIN($F12,'Grilles et calculs individuels'!J13*'données complémentaire'!$I12)*$G12</f>
        <v>2757.536</v>
      </c>
    </row>
    <row r="13" spans="3:17" ht="12.75" customHeight="1">
      <c r="C13" s="58">
        <v>37987</v>
      </c>
      <c r="D13" s="58">
        <v>38352</v>
      </c>
      <c r="E13">
        <v>29712</v>
      </c>
      <c r="F13" s="57">
        <f t="shared" si="0"/>
        <v>2476</v>
      </c>
      <c r="G13" s="35">
        <v>1.116</v>
      </c>
      <c r="H13" s="57"/>
      <c r="I13" s="10">
        <v>10</v>
      </c>
      <c r="J13" s="59">
        <f>MIN($F13,'Grilles et calculs individuels'!C14*'données complémentaire'!$I13)*$G13</f>
        <v>2526.7388202485445</v>
      </c>
      <c r="K13" s="59">
        <f>MIN($F13,'Grilles et calculs individuels'!D14*'données complémentaire'!$I13)*$G13</f>
        <v>2763.2160000000003</v>
      </c>
      <c r="L13" s="59">
        <f>MIN($F13,'Grilles et calculs individuels'!E14*'données complémentaire'!$I13)*$G13</f>
        <v>2763.2160000000003</v>
      </c>
      <c r="M13" s="59">
        <f>MIN($F13,'Grilles et calculs individuels'!F14*'données complémentaire'!$I13)*$G13</f>
        <v>2763.2160000000003</v>
      </c>
      <c r="N13" s="59">
        <f>MIN($F13,'Grilles et calculs individuels'!G14*'données complémentaire'!$I13)*$G13</f>
        <v>1972.3312527192134</v>
      </c>
      <c r="O13" s="59">
        <f>MIN($F13,'Grilles et calculs individuels'!H14*'données complémentaire'!$I13)*$G13</f>
        <v>1972.3312527192134</v>
      </c>
      <c r="P13" s="59">
        <f>MIN($F13,'Grilles et calculs individuels'!I14*'données complémentaire'!$I13)*$G13</f>
        <v>1928.1668335176873</v>
      </c>
      <c r="Q13" s="59">
        <f>MIN($F13,'Grilles et calculs individuels'!J14*'données complémentaire'!$I13)*$G13</f>
        <v>2763.2160000000003</v>
      </c>
    </row>
    <row r="14" spans="3:17" ht="12.75" customHeight="1">
      <c r="C14" s="58">
        <v>37622</v>
      </c>
      <c r="D14" s="58">
        <v>37986</v>
      </c>
      <c r="E14">
        <v>29184</v>
      </c>
      <c r="F14" s="57">
        <f t="shared" si="0"/>
        <v>2432</v>
      </c>
      <c r="G14" s="35">
        <v>1.134</v>
      </c>
      <c r="H14" s="57"/>
      <c r="I14" s="10">
        <v>11</v>
      </c>
      <c r="J14" s="59">
        <f>MIN($F14,'Grilles et calculs individuels'!C15*'données complémentaire'!$I14)*$G14</f>
        <v>2435.659436134045</v>
      </c>
      <c r="K14" s="59">
        <f>MIN($F14,'Grilles et calculs individuels'!D15*'données complémentaire'!$I14)*$G14</f>
        <v>2757.888</v>
      </c>
      <c r="L14" s="59">
        <f>MIN($F14,'Grilles et calculs individuels'!E15*'données complémentaire'!$I14)*$G14</f>
        <v>2757.888</v>
      </c>
      <c r="M14" s="59">
        <f>MIN($F14,'Grilles et calculs individuels'!F15*'données complémentaire'!$I14)*$G14</f>
        <v>2757.888</v>
      </c>
      <c r="N14" s="59">
        <f>MIN($F14,'Grilles et calculs individuels'!G15*'données complémentaire'!$I14)*$G14</f>
        <v>1994.1709198851045</v>
      </c>
      <c r="O14" s="59">
        <f>MIN($F14,'Grilles et calculs individuels'!H15*'données complémentaire'!$I14)*$G14</f>
        <v>1994.1709198851045</v>
      </c>
      <c r="P14" s="59">
        <f>MIN($F14,'Grilles et calculs individuels'!I15*'données complémentaire'!$I14)*$G14</f>
        <v>1949.5174671023244</v>
      </c>
      <c r="Q14" s="59">
        <f>MIN($F14,'Grilles et calculs individuels'!J15*'données complémentaire'!$I14)*$G14</f>
        <v>2757.888</v>
      </c>
    </row>
    <row r="15" spans="3:17" ht="12.75" customHeight="1">
      <c r="C15" s="58">
        <v>37257</v>
      </c>
      <c r="D15" s="58">
        <v>37621</v>
      </c>
      <c r="E15">
        <v>28224</v>
      </c>
      <c r="F15" s="57">
        <f t="shared" si="0"/>
        <v>2352</v>
      </c>
      <c r="G15" s="35">
        <v>1.152</v>
      </c>
      <c r="H15" s="57"/>
      <c r="I15" s="10">
        <v>12</v>
      </c>
      <c r="J15" s="59">
        <f>MIN($F15,'Grilles et calculs individuels'!C16*'données complémentaire'!$I15)*$G15</f>
        <v>2456.112085921153</v>
      </c>
      <c r="K15" s="59">
        <f>MIN($F15,'Grilles et calculs individuels'!D16*'données complémentaire'!$I15)*$G15</f>
        <v>2709.504</v>
      </c>
      <c r="L15" s="59">
        <f>MIN($F15,'Grilles et calculs individuels'!E16*'données complémentaire'!$I15)*$G15</f>
        <v>2709.504</v>
      </c>
      <c r="M15" s="59">
        <f>MIN($F15,'Grilles et calculs individuels'!F16*'données complémentaire'!$I15)*$G15</f>
        <v>2709.504</v>
      </c>
      <c r="N15" s="59">
        <f>MIN($F15,'Grilles et calculs individuels'!G16*'données complémentaire'!$I15)*$G15</f>
        <v>2010.9163149247258</v>
      </c>
      <c r="O15" s="59">
        <f>MIN($F15,'Grilles et calculs individuels'!H16*'données complémentaire'!$I15)*$G15</f>
        <v>2010.9163149247258</v>
      </c>
      <c r="P15" s="59">
        <f>MIN($F15,'Grilles et calculs individuels'!I16*'données complémentaire'!$I15)*$G15</f>
        <v>1965.8878994447794</v>
      </c>
      <c r="Q15" s="59">
        <f>MIN($F15,'Grilles et calculs individuels'!J16*'données complémentaire'!$I15)*$G15</f>
        <v>2709.504</v>
      </c>
    </row>
    <row r="16" spans="3:17" ht="12.75" customHeight="1">
      <c r="C16" s="58">
        <v>36892</v>
      </c>
      <c r="D16" s="58">
        <v>37256</v>
      </c>
      <c r="E16">
        <v>179400</v>
      </c>
      <c r="F16" s="57">
        <f aca="true" t="shared" si="1" ref="F16:F20">E16/(12*6.55957)</f>
        <v>2279.1128076992854</v>
      </c>
      <c r="G16" s="35">
        <v>1.179</v>
      </c>
      <c r="H16" s="57"/>
      <c r="I16" s="6">
        <v>13</v>
      </c>
      <c r="J16" s="59">
        <f>MIN($F16,'Grilles et calculs individuels'!C17*'données complémentaire'!$I16)*$G16</f>
        <v>2481.1244007736373</v>
      </c>
      <c r="K16" s="59">
        <f>MIN($F16,'Grilles et calculs individuels'!D17*'données complémentaire'!$I16)*$G16</f>
        <v>2687.074000277458</v>
      </c>
      <c r="L16" s="59">
        <f>MIN($F16,'Grilles et calculs individuels'!E17*'données complémentaire'!$I16)*$G16</f>
        <v>2687.074000277458</v>
      </c>
      <c r="M16" s="59">
        <f>MIN($F16,'Grilles et calculs individuels'!F17*'données complémentaire'!$I16)*$G16</f>
        <v>2687.074000277458</v>
      </c>
      <c r="N16" s="59">
        <f>MIN($F16,'Grilles et calculs individuels'!G17*'données complémentaire'!$I16)*$G16</f>
        <v>2031.3948884797398</v>
      </c>
      <c r="O16" s="59">
        <f>MIN($F16,'Grilles et calculs individuels'!H17*'données complémentaire'!$I16)*$G16</f>
        <v>2031.3948884797398</v>
      </c>
      <c r="P16" s="59">
        <f>MIN($F16,'Grilles et calculs individuels'!I17*'données complémentaire'!$I16)*$G16</f>
        <v>1985.9079170113478</v>
      </c>
      <c r="Q16" s="59">
        <f>MIN($F16,'Grilles et calculs individuels'!J17*'données complémentaire'!$I16)*$G16</f>
        <v>2687.074000277458</v>
      </c>
    </row>
    <row r="17" spans="3:17" ht="12.75" customHeight="1">
      <c r="C17" s="58">
        <v>36526</v>
      </c>
      <c r="D17" s="58">
        <v>36891</v>
      </c>
      <c r="E17">
        <v>176400</v>
      </c>
      <c r="F17" s="57">
        <f t="shared" si="1"/>
        <v>2241.0005533899325</v>
      </c>
      <c r="G17" s="35">
        <v>1.203</v>
      </c>
      <c r="H17" s="57"/>
      <c r="I17" s="6">
        <v>14</v>
      </c>
      <c r="J17" s="59">
        <f>MIN($F17,'Grilles et calculs individuels'!C18*'données complémentaire'!$I17)*$G17</f>
        <v>2495.4323906321238</v>
      </c>
      <c r="K17" s="59">
        <f>MIN($F17,'Grilles et calculs individuels'!D18*'données complémentaire'!$I17)*$G17</f>
        <v>2695.923665728089</v>
      </c>
      <c r="L17" s="59">
        <f>MIN($F17,'Grilles et calculs individuels'!E18*'données complémentaire'!$I17)*$G17</f>
        <v>2695.923665728089</v>
      </c>
      <c r="M17" s="59">
        <f>MIN($F17,'Grilles et calculs individuels'!F18*'données complémentaire'!$I17)*$G17</f>
        <v>2695.923665728089</v>
      </c>
      <c r="N17" s="59">
        <f>MIN($F17,'Grilles et calculs individuels'!G18*'données complémentaire'!$I17)*$G17</f>
        <v>2043.109406886752</v>
      </c>
      <c r="O17" s="59">
        <f>MIN($F17,'Grilles et calculs individuels'!H18*'données complémentaire'!$I17)*$G17</f>
        <v>2043.109406886752</v>
      </c>
      <c r="P17" s="59">
        <f>MIN($F17,'Grilles et calculs individuels'!I18*'données complémentaire'!$I17)*$G17</f>
        <v>1931.2936813070455</v>
      </c>
      <c r="Q17" s="59">
        <f>MIN($F17,'Grilles et calculs individuels'!J18*'données complémentaire'!$I17)*$G17</f>
        <v>2695.923665728089</v>
      </c>
    </row>
    <row r="18" spans="3:17" ht="12.75" customHeight="1">
      <c r="C18" s="58">
        <v>36161</v>
      </c>
      <c r="D18" s="58">
        <v>36525</v>
      </c>
      <c r="E18">
        <v>173640</v>
      </c>
      <c r="F18" s="57">
        <f t="shared" si="1"/>
        <v>2205.937279425328</v>
      </c>
      <c r="G18" s="35">
        <v>1.208</v>
      </c>
      <c r="H18" s="57"/>
      <c r="I18" s="6">
        <v>15</v>
      </c>
      <c r="J18" s="59">
        <f>MIN($F18,'Grilles et calculs individuels'!C19*'données complémentaire'!$I18)*$G18</f>
        <v>2379.8665238438903</v>
      </c>
      <c r="K18" s="59">
        <f>MIN($F18,'Grilles et calculs individuels'!D19*'données complémentaire'!$I18)*$G18</f>
        <v>2664.772233545796</v>
      </c>
      <c r="L18" s="59">
        <f>MIN($F18,'Grilles et calculs individuels'!E19*'données complémentaire'!$I18)*$G18</f>
        <v>2664.772233545796</v>
      </c>
      <c r="M18" s="59">
        <f>MIN($F18,'Grilles et calculs individuels'!F19*'données complémentaire'!$I18)*$G18</f>
        <v>2664.772233545796</v>
      </c>
      <c r="N18" s="59">
        <f>MIN($F18,'Grilles et calculs individuels'!G19*'données complémentaire'!$I18)*$G18</f>
        <v>2044.244040163057</v>
      </c>
      <c r="O18" s="59">
        <f>MIN($F18,'Grilles et calculs individuels'!H19*'données complémentaire'!$I18)*$G18</f>
        <v>2044.244040163057</v>
      </c>
      <c r="P18" s="59">
        <f>MIN($F18,'Grilles et calculs individuels'!I19*'données complémentaire'!$I18)*$G18</f>
        <v>1932.3662181324073</v>
      </c>
      <c r="Q18" s="59">
        <f>MIN($F18,'Grilles et calculs individuels'!J19*'données complémentaire'!$I18)*$G18</f>
        <v>2664.772233545796</v>
      </c>
    </row>
    <row r="19" spans="3:17" ht="12.75" customHeight="1">
      <c r="C19" s="58">
        <v>35796</v>
      </c>
      <c r="D19" s="58">
        <v>36160</v>
      </c>
      <c r="E19">
        <v>169080</v>
      </c>
      <c r="F19" s="57">
        <f t="shared" si="1"/>
        <v>2148.006652875112</v>
      </c>
      <c r="G19" s="35">
        <v>1.222</v>
      </c>
      <c r="H19" s="57"/>
      <c r="I19" s="6">
        <v>16</v>
      </c>
      <c r="J19" s="59">
        <f>MIN($F19,'Grilles et calculs individuels'!C20*'données complémentaire'!$I19)*$G19</f>
        <v>2379.3676194380846</v>
      </c>
      <c r="K19" s="59">
        <f>MIN($F19,'Grilles et calculs individuels'!D20*'données complémentaire'!$I19)*$G19</f>
        <v>2624.864129813387</v>
      </c>
      <c r="L19" s="59">
        <f>MIN($F19,'Grilles et calculs individuels'!E20*'données complémentaire'!$I19)*$G19</f>
        <v>2624.864129813387</v>
      </c>
      <c r="M19" s="59">
        <f>MIN($F19,'Grilles et calculs individuels'!F20*'données complémentaire'!$I19)*$G19</f>
        <v>2624.864129813387</v>
      </c>
      <c r="N19" s="59">
        <f>MIN($F19,'Grilles et calculs individuels'!G20*'données complémentaire'!$I19)*$G19</f>
        <v>1998.0504005996743</v>
      </c>
      <c r="O19" s="59">
        <f>MIN($F19,'Grilles et calculs individuels'!H20*'données complémentaire'!$I19)*$G19</f>
        <v>1998.0504005996743</v>
      </c>
      <c r="P19" s="59">
        <f>MIN($F19,'Grilles et calculs individuels'!I20*'données complémentaire'!$I19)*$G19</f>
        <v>1931.961125657599</v>
      </c>
      <c r="Q19" s="59">
        <f>MIN($F19,'Grilles et calculs individuels'!J20*'données complémentaire'!$I19)*$G19</f>
        <v>2624.864129813387</v>
      </c>
    </row>
    <row r="20" spans="3:17" ht="12.75" customHeight="1">
      <c r="C20" s="58">
        <v>35431</v>
      </c>
      <c r="D20" s="58">
        <v>35795</v>
      </c>
      <c r="E20">
        <v>164640</v>
      </c>
      <c r="F20" s="57">
        <f t="shared" si="1"/>
        <v>2091.6005164972707</v>
      </c>
      <c r="G20" s="35">
        <v>1.236</v>
      </c>
      <c r="H20" s="57"/>
      <c r="I20" s="6">
        <v>17</v>
      </c>
      <c r="J20" s="59">
        <f>MIN($F20,'Grilles et calculs individuels'!C21*'données complémentaire'!$I20)*$G20</f>
        <v>2382.337115434269</v>
      </c>
      <c r="K20" s="59">
        <f>MIN($F20,'Grilles et calculs individuels'!D21*'données complémentaire'!$I20)*$G20</f>
        <v>2585.2182383906265</v>
      </c>
      <c r="L20" s="59">
        <f>MIN($F20,'Grilles et calculs individuels'!E21*'données complémentaire'!$I20)*$G20</f>
        <v>2585.2182383906265</v>
      </c>
      <c r="M20" s="59">
        <f>MIN($F20,'Grilles et calculs individuels'!F21*'données complémentaire'!$I20)*$G20</f>
        <v>2585.2182383906265</v>
      </c>
      <c r="N20" s="59">
        <f>MIN($F20,'Grilles et calculs individuels'!G21*'données complémentaire'!$I20)*$G20</f>
        <v>2000.5440054618591</v>
      </c>
      <c r="O20" s="59">
        <f>MIN($F20,'Grilles et calculs individuels'!H21*'données complémentaire'!$I20)*$G20</f>
        <v>2000.5440054618591</v>
      </c>
      <c r="P20" s="59">
        <f>MIN($F20,'Grilles et calculs individuels'!I21*'données complémentaire'!$I20)*$G20</f>
        <v>1934.3722498489835</v>
      </c>
      <c r="Q20" s="59">
        <f>MIN($F20,'Grilles et calculs individuels'!J21*'données complémentaire'!$I20)*$G20</f>
        <v>2585.2182383906265</v>
      </c>
    </row>
    <row r="21" spans="3:17" ht="12.75" customHeight="1">
      <c r="C21" s="58">
        <v>35247</v>
      </c>
      <c r="D21" s="58">
        <v>35430</v>
      </c>
      <c r="E21">
        <v>162480</v>
      </c>
      <c r="F21">
        <v>2048</v>
      </c>
      <c r="G21" s="35">
        <v>1.249</v>
      </c>
      <c r="I21" s="6">
        <v>18</v>
      </c>
      <c r="J21" s="59">
        <f>MIN($F21,'Grilles et calculs individuels'!C22*'données complémentaire'!$I21)*$G21</f>
        <v>2394.422298953666</v>
      </c>
      <c r="K21" s="59">
        <f>MIN($F21,'Grilles et calculs individuels'!D22*'données complémentaire'!$I21)*$G21</f>
        <v>2557.952</v>
      </c>
      <c r="L21" s="59">
        <f>MIN($F21,'Grilles et calculs individuels'!E22*'données complémentaire'!$I21)*$G21</f>
        <v>2557.952</v>
      </c>
      <c r="M21" s="59">
        <f>MIN($F21,'Grilles et calculs individuels'!F22*'données complémentaire'!$I21)*$G21</f>
        <v>2557.952</v>
      </c>
      <c r="N21" s="59">
        <f>MIN($F21,'Grilles et calculs individuels'!G22*'données complémentaire'!$I21)*$G21</f>
        <v>2010.692418668371</v>
      </c>
      <c r="O21" s="59">
        <f>MIN($F21,'Grilles et calculs individuels'!H22*'données complémentaire'!$I21)*$G21</f>
        <v>2010.692418668371</v>
      </c>
      <c r="P21" s="59">
        <f>MIN($F21,'Grilles et calculs individuels'!I22*'données complémentaire'!$I21)*$G21</f>
        <v>1898.141377416758</v>
      </c>
      <c r="Q21" s="59">
        <f>MIN($F21,'Grilles et calculs individuels'!J22*'données complémentaire'!$I21)*$G21</f>
        <v>2557.952</v>
      </c>
    </row>
    <row r="22" spans="3:17" ht="12.75" customHeight="1">
      <c r="C22" s="58">
        <v>34881</v>
      </c>
      <c r="D22" s="58">
        <v>35064</v>
      </c>
      <c r="E22">
        <v>156720</v>
      </c>
      <c r="F22">
        <v>1981</v>
      </c>
      <c r="G22" s="35">
        <v>1.2810000000000001</v>
      </c>
      <c r="I22" s="6">
        <v>19</v>
      </c>
      <c r="J22" s="59">
        <f>MIN($F22,'Grilles et calculs individuels'!C23*'données complémentaire'!$I22)*$G22</f>
        <v>2308.2169466318</v>
      </c>
      <c r="K22" s="59">
        <f>MIN($F22,'Grilles et calculs individuels'!D23*'données complémentaire'!$I22)*$G22</f>
        <v>2537.661</v>
      </c>
      <c r="L22" s="59">
        <f>MIN($F22,'Grilles et calculs individuels'!E23*'données complémentaire'!$I22)*$G22</f>
        <v>2537.661</v>
      </c>
      <c r="M22" s="59">
        <f>MIN($F22,'Grilles et calculs individuels'!F23*'données complémentaire'!$I22)*$G22</f>
        <v>2537.661</v>
      </c>
      <c r="N22" s="59">
        <f>MIN($F22,'Grilles et calculs individuels'!G23*'données complémentaire'!$I22)*$G22</f>
        <v>2038.4873319740482</v>
      </c>
      <c r="O22" s="59">
        <f>MIN($F22,'Grilles et calculs individuels'!H23*'données complémentaire'!$I22)*$G22</f>
        <v>2038.4873319740482</v>
      </c>
      <c r="P22" s="59">
        <f>MIN($F22,'Grilles et calculs individuels'!I23*'données complémentaire'!$I22)*$G22</f>
        <v>1924.3804354334775</v>
      </c>
      <c r="Q22" s="59">
        <f>MIN($F22,'Grilles et calculs individuels'!J23*'données complémentaire'!$I22)*$G22</f>
        <v>2537.661</v>
      </c>
    </row>
    <row r="23" spans="3:17" ht="12.75" customHeight="1">
      <c r="C23" s="58">
        <v>34516</v>
      </c>
      <c r="D23" s="58">
        <v>34699</v>
      </c>
      <c r="E23">
        <v>154080</v>
      </c>
      <c r="F23">
        <v>1945</v>
      </c>
      <c r="G23" s="35">
        <v>1.295</v>
      </c>
      <c r="I23" s="6">
        <v>20</v>
      </c>
      <c r="J23" s="59">
        <f>MIN($F23,'Grilles et calculs individuels'!C24*'données complémentaire'!$I23)*$G23</f>
        <v>2270.927122111458</v>
      </c>
      <c r="K23" s="59">
        <f>MIN($F23,'Grilles et calculs individuels'!D24*'données complémentaire'!$I23)*$G23</f>
        <v>2518.7749999999996</v>
      </c>
      <c r="L23" s="59">
        <f>MIN($F23,'Grilles et calculs individuels'!E24*'données complémentaire'!$I23)*$G23</f>
        <v>2518.7749999999996</v>
      </c>
      <c r="M23" s="59">
        <f>MIN($F23,'Grilles et calculs individuels'!F24*'données complémentaire'!$I23)*$G23</f>
        <v>2518.7749999999996</v>
      </c>
      <c r="N23" s="59">
        <f>MIN($F23,'Grilles et calculs individuels'!G24*'données complémentaire'!$I23)*$G23</f>
        <v>1939.217551554168</v>
      </c>
      <c r="O23" s="59">
        <f>MIN($F23,'Grilles et calculs individuels'!H24*'données complémentaire'!$I23)*$G23</f>
        <v>1939.217551554168</v>
      </c>
      <c r="P23" s="59">
        <f>MIN($F23,'Grilles et calculs individuels'!I24*'données complémentaire'!$I23)*$G23</f>
        <v>1893.2915861585393</v>
      </c>
      <c r="Q23" s="59">
        <f>MIN($F23,'Grilles et calculs individuels'!J24*'données complémentaire'!$I23)*$G23</f>
        <v>2518.7749999999996</v>
      </c>
    </row>
    <row r="24" spans="3:17" ht="12.75" customHeight="1">
      <c r="C24" s="58">
        <v>34151</v>
      </c>
      <c r="D24" s="58">
        <v>34334</v>
      </c>
      <c r="E24">
        <v>151320</v>
      </c>
      <c r="F24">
        <v>1904</v>
      </c>
      <c r="G24" s="35">
        <v>1.32</v>
      </c>
      <c r="I24" s="6">
        <v>21</v>
      </c>
      <c r="J24" s="59">
        <f>MIN($F24,'Grilles et calculs individuels'!C25*'données complémentaire'!$I24)*$G24</f>
        <v>2288.569371395251</v>
      </c>
      <c r="K24" s="59">
        <f>MIN($F24,'Grilles et calculs individuels'!D25*'données complémentaire'!$I24)*$G24</f>
        <v>2513.28</v>
      </c>
      <c r="L24" s="59">
        <f>MIN($F24,'Grilles et calculs individuels'!E25*'données complémentaire'!$I24)*$G24</f>
        <v>2513.28</v>
      </c>
      <c r="M24" s="59">
        <f>MIN($F24,'Grilles et calculs individuels'!F25*'données complémentaire'!$I24)*$G24</f>
        <v>2513.28</v>
      </c>
      <c r="N24" s="59">
        <f>MIN($F24,'Grilles et calculs individuels'!G25*'données complémentaire'!$I24)*$G24</f>
        <v>1954.2828344189984</v>
      </c>
      <c r="O24" s="59">
        <f>MIN($F24,'Grilles et calculs individuels'!H25*'données complémentaire'!$I24)*$G24</f>
        <v>1954.2828344189984</v>
      </c>
      <c r="P24" s="59">
        <f>MIN($F24,'Grilles et calculs individuels'!I25*'données complémentaire'!$I24)*$G24</f>
        <v>1825.708526280742</v>
      </c>
      <c r="Q24" s="59">
        <f>MIN($F24,'Grilles et calculs individuels'!J25*'données complémentaire'!$I24)*$G24</f>
        <v>2513.28</v>
      </c>
    </row>
    <row r="25" spans="3:17" ht="12.75" customHeight="1">
      <c r="C25" s="58">
        <v>33786</v>
      </c>
      <c r="D25" s="58">
        <v>33969</v>
      </c>
      <c r="E25">
        <v>145800</v>
      </c>
      <c r="F25">
        <v>1831</v>
      </c>
      <c r="G25" s="35">
        <v>1.32</v>
      </c>
      <c r="I25" s="6">
        <v>22</v>
      </c>
      <c r="J25" s="59">
        <f>MIN($F25,'Grilles et calculs individuels'!C26*'données complémentaire'!$I25)*$G25</f>
        <v>2227.832205254169</v>
      </c>
      <c r="K25" s="59">
        <f>MIN($F25,'Grilles et calculs individuels'!D26*'données complémentaire'!$I25)*$G25</f>
        <v>2416.92</v>
      </c>
      <c r="L25" s="59">
        <f>MIN($F25,'Grilles et calculs individuels'!E26*'données complémentaire'!$I25)*$G25</f>
        <v>2416.92</v>
      </c>
      <c r="M25" s="59">
        <f>MIN($F25,'Grilles et calculs individuels'!F26*'données complémentaire'!$I25)*$G25</f>
        <v>2416.92</v>
      </c>
      <c r="N25" s="59">
        <f>MIN($F25,'Grilles et calculs individuels'!G26*'données complémentaire'!$I25)*$G25</f>
        <v>1902.4174189833254</v>
      </c>
      <c r="O25" s="59">
        <f>MIN($F25,'Grilles et calculs individuels'!H26*'données complémentaire'!$I25)*$G25</f>
        <v>1902.4174189833254</v>
      </c>
      <c r="P25" s="59">
        <f>MIN($F25,'Grilles et calculs individuels'!I26*'données complémentaire'!$I25)*$G25</f>
        <v>1777.255390679133</v>
      </c>
      <c r="Q25" s="59">
        <f>MIN($F25,'Grilles et calculs individuels'!J26*'données complémentaire'!$I25)*$G25</f>
        <v>2416.92</v>
      </c>
    </row>
    <row r="26" spans="3:17" ht="12.75" customHeight="1">
      <c r="C26" s="58">
        <v>33420</v>
      </c>
      <c r="D26" s="58">
        <v>33603</v>
      </c>
      <c r="E26">
        <v>139440</v>
      </c>
      <c r="F26">
        <v>1751</v>
      </c>
      <c r="G26" s="35">
        <v>1.362</v>
      </c>
      <c r="I26" s="6">
        <v>23</v>
      </c>
      <c r="J26" s="59">
        <f>MIN($F26,'Grilles et calculs individuels'!C27*'données complémentaire'!$I26)*$G26</f>
        <v>2138.614908216509</v>
      </c>
      <c r="K26" s="59">
        <f>MIN($F26,'Grilles et calculs individuels'!D27*'données complémentaire'!$I26)*$G26</f>
        <v>2384.862</v>
      </c>
      <c r="L26" s="59">
        <f>MIN($F26,'Grilles et calculs individuels'!E27*'données complémentaire'!$I26)*$G26</f>
        <v>2384.862</v>
      </c>
      <c r="M26" s="59">
        <f>MIN($F26,'Grilles et calculs individuels'!F27*'données complémentaire'!$I26)*$G26</f>
        <v>2384.862</v>
      </c>
      <c r="N26" s="59">
        <f>MIN($F26,'Grilles et calculs individuels'!G27*'données complémentaire'!$I26)*$G26</f>
        <v>1912.1762703613704</v>
      </c>
      <c r="O26" s="59">
        <f>MIN($F26,'Grilles et calculs individuels'!H27*'données complémentaire'!$I26)*$G26</f>
        <v>1912.1762703613704</v>
      </c>
      <c r="P26" s="59">
        <f>MIN($F26,'Grilles et calculs individuels'!I27*'données complémentaire'!$I26)*$G26</f>
        <v>1786.3721970358238</v>
      </c>
      <c r="Q26" s="59">
        <f>MIN($F26,'Grilles et calculs individuels'!J27*'données complémentaire'!$I26)*$G26</f>
        <v>2384.862</v>
      </c>
    </row>
    <row r="27" spans="3:17" ht="12.75" customHeight="1">
      <c r="C27" s="58">
        <v>33055</v>
      </c>
      <c r="D27" s="58">
        <v>33238</v>
      </c>
      <c r="E27">
        <v>132480</v>
      </c>
      <c r="F27">
        <v>1665</v>
      </c>
      <c r="G27" s="35">
        <v>1.384</v>
      </c>
      <c r="I27" s="6">
        <v>24</v>
      </c>
      <c r="J27" s="59">
        <f>MIN($F27,'Grilles et calculs individuels'!C28*'données complémentaire'!$I27)*$G27</f>
        <v>2133.6912081204387</v>
      </c>
      <c r="K27" s="59">
        <f>MIN($F27,'Grilles et calculs individuels'!D28*'données complémentaire'!$I27)*$G27</f>
        <v>2304.3599999999997</v>
      </c>
      <c r="L27" s="59">
        <f>MIN($F27,'Grilles et calculs individuels'!E28*'données complémentaire'!$I27)*$G27</f>
        <v>2304.3599999999997</v>
      </c>
      <c r="M27" s="59">
        <f>MIN($F27,'Grilles et calculs individuels'!F28*'données complémentaire'!$I27)*$G27</f>
        <v>2304.3599999999997</v>
      </c>
      <c r="N27" s="59">
        <f>MIN($F27,'Grilles et calculs individuels'!G28*'données complémentaire'!$I27)*$G27</f>
        <v>1862.5926026402224</v>
      </c>
      <c r="O27" s="59">
        <f>MIN($F27,'Grilles et calculs individuels'!H28*'données complémentaire'!$I27)*$G27</f>
        <v>1862.5926026402224</v>
      </c>
      <c r="P27" s="59">
        <f>MIN($F27,'Grilles et calculs individuels'!I28*'données complémentaire'!$I27)*$G27</f>
        <v>1711.9774473098348</v>
      </c>
      <c r="Q27" s="59">
        <f>MIN($F27,'Grilles et calculs individuels'!J28*'données complémentaire'!$I27)*$G27</f>
        <v>2304.3599999999997</v>
      </c>
    </row>
    <row r="28" spans="3:17" ht="12.75" customHeight="1">
      <c r="C28" s="58">
        <v>32690</v>
      </c>
      <c r="D28" s="58">
        <v>32873</v>
      </c>
      <c r="E28">
        <v>126480</v>
      </c>
      <c r="F28">
        <v>1592</v>
      </c>
      <c r="G28" s="35">
        <v>1.423</v>
      </c>
      <c r="I28" s="6">
        <v>25</v>
      </c>
      <c r="J28" s="59">
        <f>MIN($F28,'Grilles et calculs individuels'!C29*'données complémentaire'!$I28)*$G28</f>
        <v>2140.717761486659</v>
      </c>
      <c r="K28" s="59">
        <f>MIN($F28,'Grilles et calculs individuels'!D29*'données complémentaire'!$I28)*$G28</f>
        <v>2265.416</v>
      </c>
      <c r="L28" s="59">
        <f>MIN($F28,'Grilles et calculs individuels'!E29*'données complémentaire'!$I28)*$G28</f>
        <v>2265.416</v>
      </c>
      <c r="M28" s="59">
        <f>MIN($F28,'Grilles et calculs individuels'!F29*'données complémentaire'!$I28)*$G28</f>
        <v>2265.416</v>
      </c>
      <c r="N28" s="59">
        <f>MIN($F28,'Grilles et calculs individuels'!G29*'données complémentaire'!$I28)*$G28</f>
        <v>1868.726389137617</v>
      </c>
      <c r="O28" s="59">
        <f>MIN($F28,'Grilles et calculs individuels'!H29*'données complémentaire'!$I28)*$G28</f>
        <v>1868.726389137617</v>
      </c>
      <c r="P28" s="59">
        <f>MIN($F28,'Grilles et calculs individuels'!I29*'données complémentaire'!$I28)*$G28</f>
        <v>1717.6152363439307</v>
      </c>
      <c r="Q28" s="59">
        <f>MIN($F28,'Grilles et calculs individuels'!J29*'données complémentaire'!$I28)*$G28</f>
        <v>2265.416</v>
      </c>
    </row>
    <row r="29" spans="3:17" ht="12.75" customHeight="1">
      <c r="C29" s="58">
        <v>32325</v>
      </c>
      <c r="D29" s="58">
        <v>32508</v>
      </c>
      <c r="E29">
        <v>121320</v>
      </c>
      <c r="F29">
        <v>1529</v>
      </c>
      <c r="G29" s="35">
        <v>1.475</v>
      </c>
      <c r="I29" s="6">
        <v>26</v>
      </c>
      <c r="J29" s="59">
        <f>MIN($F29,'Grilles et calculs individuels'!C30*'données complémentaire'!$I29)*$G29</f>
        <v>2071.6388338405613</v>
      </c>
      <c r="K29" s="59">
        <f>MIN($F29,'Grilles et calculs individuels'!D30*'données complémentaire'!$I29)*$G29</f>
        <v>2255.275</v>
      </c>
      <c r="L29" s="59">
        <f>MIN($F29,'Grilles et calculs individuels'!E30*'données complémentaire'!$I29)*$G29</f>
        <v>2255.275</v>
      </c>
      <c r="M29" s="59">
        <f>MIN($F29,'Grilles et calculs individuels'!F30*'données complémentaire'!$I29)*$G29</f>
        <v>2255.275</v>
      </c>
      <c r="N29" s="59">
        <f>MIN($F29,'Grilles et calculs individuels'!G30*'données complémentaire'!$I29)*$G29</f>
        <v>1897.7235567809805</v>
      </c>
      <c r="O29" s="59">
        <f>MIN($F29,'Grilles et calculs individuels'!H30*'données complémentaire'!$I29)*$G29</f>
        <v>1897.7235567809805</v>
      </c>
      <c r="P29" s="59">
        <f>MIN($F29,'Grilles et calculs individuels'!I30*'données complémentaire'!$I29)*$G29</f>
        <v>1708.4637888469952</v>
      </c>
      <c r="Q29" s="59">
        <f>MIN($F29,'Grilles et calculs individuels'!J30*'données complémentaire'!$I29)*$G29</f>
        <v>2255.275</v>
      </c>
    </row>
    <row r="30" spans="3:17" ht="12.75" customHeight="1">
      <c r="C30" s="58">
        <v>31959</v>
      </c>
      <c r="D30" s="58">
        <v>32142</v>
      </c>
      <c r="E30">
        <v>118080</v>
      </c>
      <c r="F30">
        <v>1484</v>
      </c>
      <c r="G30" s="35">
        <v>1.51</v>
      </c>
      <c r="I30" s="6">
        <v>27</v>
      </c>
      <c r="J30" s="59">
        <f>MIN($F30,'Grilles et calculs individuels'!C31*'données complémentaire'!$I30)*$G30</f>
        <v>2078.9051486058293</v>
      </c>
      <c r="K30" s="59">
        <f>MIN($F30,'Grilles et calculs individuels'!D31*'données complémentaire'!$I30)*$G30</f>
        <v>2240.84</v>
      </c>
      <c r="L30" s="59">
        <f>MIN($F30,'Grilles et calculs individuels'!E31*'données complémentaire'!$I30)*$G30</f>
        <v>2240.84</v>
      </c>
      <c r="M30" s="59">
        <f>MIN($F30,'Grilles et calculs individuels'!F31*'données complémentaire'!$I30)*$G30</f>
        <v>2240.84</v>
      </c>
      <c r="N30" s="59">
        <f>MIN($F30,'Grilles et calculs individuels'!G31*'données complémentaire'!$I30)*$G30</f>
        <v>1822.2444437445445</v>
      </c>
      <c r="O30" s="59">
        <f>MIN($F30,'Grilles et calculs individuels'!H31*'données complémentaire'!$I30)*$G30</f>
        <v>1822.2444437445445</v>
      </c>
      <c r="P30" s="59">
        <f>MIN($F30,'Grilles et calculs individuels'!I31*'données complémentaire'!$I30)*$G30</f>
        <v>1714.4562598569205</v>
      </c>
      <c r="Q30" s="59">
        <f>MIN($F30,'Grilles et calculs individuels'!J31*'données complémentaire'!$I30)*$G30</f>
        <v>2240.84</v>
      </c>
    </row>
    <row r="31" spans="3:17" ht="12.75" customHeight="1">
      <c r="C31" s="58">
        <v>31594</v>
      </c>
      <c r="D31" s="58">
        <v>31777</v>
      </c>
      <c r="E31">
        <v>113760</v>
      </c>
      <c r="F31">
        <v>1425</v>
      </c>
      <c r="G31" s="35">
        <v>1.568</v>
      </c>
      <c r="I31" s="6">
        <v>28</v>
      </c>
      <c r="J31" s="59">
        <f>MIN($F31,'Grilles et calculs individuels'!C32*'données complémentaire'!$I31)*$G31</f>
        <v>2132.085427778452</v>
      </c>
      <c r="K31" s="59">
        <f>MIN($F31,'Grilles et calculs individuels'!D32*'données complémentaire'!$I31)*$G31</f>
        <v>2234.4</v>
      </c>
      <c r="L31" s="59">
        <f>MIN($F31,'Grilles et calculs individuels'!E32*'données complémentaire'!$I31)*$G31</f>
        <v>2234.4</v>
      </c>
      <c r="M31" s="59">
        <f>MIN($F31,'Grilles et calculs individuels'!F32*'données complémentaire'!$I31)*$G31</f>
        <v>2234.4</v>
      </c>
      <c r="N31" s="59">
        <f>MIN($F31,'Grilles et calculs individuels'!G32*'données complémentaire'!$I31)*$G31</f>
        <v>1868.8591093073694</v>
      </c>
      <c r="O31" s="59">
        <f>MIN($F31,'Grilles et calculs individuels'!H32*'données complémentaire'!$I31)*$G31</f>
        <v>1868.8591093073694</v>
      </c>
      <c r="P31" s="59">
        <f>MIN($F31,'Grilles et calculs individuels'!I32*'données complémentaire'!$I31)*$G31</f>
        <v>1721.4651047868474</v>
      </c>
      <c r="Q31" s="59">
        <f>MIN($F31,'Grilles et calculs individuels'!J32*'données complémentaire'!$I31)*$G31</f>
        <v>2234.4</v>
      </c>
    </row>
    <row r="32" spans="3:17" ht="12.75" customHeight="1">
      <c r="C32" s="58">
        <v>31229</v>
      </c>
      <c r="D32" s="58">
        <v>31412</v>
      </c>
      <c r="E32">
        <v>108720</v>
      </c>
      <c r="F32">
        <v>1353</v>
      </c>
      <c r="G32" s="35">
        <v>1.603</v>
      </c>
      <c r="I32" s="6">
        <v>29</v>
      </c>
      <c r="J32" s="59">
        <f>MIN($F32,'Grilles et calculs individuels'!C33*'données complémentaire'!$I32)*$G32</f>
        <v>2056.304893814681</v>
      </c>
      <c r="K32" s="59">
        <f>MIN($F32,'Grilles et calculs individuels'!D33*'données complémentaire'!$I32)*$G32</f>
        <v>2168.859</v>
      </c>
      <c r="L32" s="59">
        <f>MIN($F32,'Grilles et calculs individuels'!E33*'données complémentaire'!$I32)*$G32</f>
        <v>2168.859</v>
      </c>
      <c r="M32" s="59">
        <f>MIN($F32,'Grilles et calculs individuels'!F33*'données complémentaire'!$I32)*$G32</f>
        <v>2168.859</v>
      </c>
      <c r="N32" s="59">
        <f>MIN($F32,'Grilles et calculs individuels'!G33*'données complémentaire'!$I32)*$G32</f>
        <v>1871.7645650471986</v>
      </c>
      <c r="O32" s="59">
        <f>MIN($F32,'Grilles et calculs individuels'!H33*'données complémentaire'!$I32)*$G32</f>
        <v>1871.7645650471986</v>
      </c>
      <c r="P32" s="59">
        <f>MIN($F32,'Grilles et calculs individuels'!I33*'données complémentaire'!$I32)*$G32</f>
        <v>1724.1414117618942</v>
      </c>
      <c r="Q32" s="59">
        <f>MIN($F32,'Grilles et calculs individuels'!J33*'données complémentaire'!$I32)*$G32</f>
        <v>2168.859</v>
      </c>
    </row>
    <row r="33" spans="3:17" ht="12.75" customHeight="1">
      <c r="C33" s="58">
        <v>30864</v>
      </c>
      <c r="D33" s="58">
        <v>31047</v>
      </c>
      <c r="E33">
        <v>101880</v>
      </c>
      <c r="F33">
        <v>1265</v>
      </c>
      <c r="G33" s="35">
        <v>1.6720000000000002</v>
      </c>
      <c r="I33" s="6">
        <v>30</v>
      </c>
      <c r="J33" s="59">
        <f>MIN($F33,'Grilles et calculs individuels'!C34*'données complémentaire'!$I33)*$G33</f>
        <v>2056.069178304175</v>
      </c>
      <c r="K33" s="59">
        <f>MIN($F33,'Grilles et calculs individuels'!D34*'données complémentaire'!$I33)*$G33</f>
        <v>2115.0800000000004</v>
      </c>
      <c r="L33" s="59">
        <f>MIN($F33,'Grilles et calculs individuels'!E34*'données complémentaire'!$I33)*$G33</f>
        <v>2115.0800000000004</v>
      </c>
      <c r="M33" s="59">
        <f>MIN($F33,'Grilles et calculs individuels'!F34*'données complémentaire'!$I33)*$G33</f>
        <v>2115.0800000000004</v>
      </c>
      <c r="N33" s="59">
        <f>MIN($F33,'Grilles et calculs individuels'!G34*'données complémentaire'!$I33)*$G33</f>
        <v>1797.746887933842</v>
      </c>
      <c r="O33" s="59">
        <f>MIN($F33,'Grilles et calculs individuels'!H34*'données complémentaire'!$I33)*$G33</f>
        <v>1797.746887933842</v>
      </c>
      <c r="P33" s="59">
        <f>MIN($F33,'Grilles et calculs individuels'!I34*'données complémentaire'!$I33)*$G33</f>
        <v>1713.3890842775568</v>
      </c>
      <c r="Q33" s="59">
        <f>MIN($F33,'Grilles et calculs individuels'!J34*'données complémentaire'!$I33)*$G33</f>
        <v>2115.0800000000004</v>
      </c>
    </row>
    <row r="34" spans="3:17" ht="12.75" customHeight="1">
      <c r="C34" s="58">
        <v>30498</v>
      </c>
      <c r="D34" s="58">
        <v>30681</v>
      </c>
      <c r="E34">
        <v>94440</v>
      </c>
      <c r="F34">
        <v>1165</v>
      </c>
      <c r="G34" s="35">
        <v>1.764</v>
      </c>
      <c r="I34" s="6">
        <v>31</v>
      </c>
      <c r="J34" s="59">
        <f>MIN($F34,'Grilles et calculs individuels'!C35*'données complémentaire'!$I34)*$G34</f>
        <v>1913.7863388643266</v>
      </c>
      <c r="K34" s="59">
        <f>MIN($F34,'Grilles et calculs individuels'!D35*'données complémentaire'!$I34)*$G34</f>
        <v>2055.06</v>
      </c>
      <c r="L34" s="59">
        <f>MIN($F34,'Grilles et calculs individuels'!E35*'données complémentaire'!$I34)*$G34</f>
        <v>2055.06</v>
      </c>
      <c r="M34" s="59">
        <f>MIN($F34,'Grilles et calculs individuels'!F35*'données complémentaire'!$I34)*$G34</f>
        <v>2055.06</v>
      </c>
      <c r="N34" s="59">
        <f>MIN($F34,'Grilles et calculs individuels'!G35*'données complémentaire'!$I34)*$G34</f>
        <v>1740.2696814157498</v>
      </c>
      <c r="O34" s="59">
        <f>MIN($F34,'Grilles et calculs individuels'!H35*'données complémentaire'!$I34)*$G34</f>
        <v>1740.2696814157498</v>
      </c>
      <c r="P34" s="59">
        <f>MIN($F34,'Grilles et calculs individuels'!I35*'données complémentaire'!$I34)*$G34</f>
        <v>1658.608948706831</v>
      </c>
      <c r="Q34" s="59">
        <f>MIN($F34,'Grilles et calculs individuels'!J35*'données complémentaire'!$I34)*$G34</f>
        <v>2055.06</v>
      </c>
    </row>
    <row r="35" spans="3:17" ht="12.75" customHeight="1">
      <c r="C35" s="58">
        <v>30133</v>
      </c>
      <c r="D35" s="58">
        <v>30316</v>
      </c>
      <c r="E35">
        <v>84960</v>
      </c>
      <c r="F35">
        <v>1042</v>
      </c>
      <c r="G35" s="35">
        <v>1.87</v>
      </c>
      <c r="I35" s="6">
        <v>32</v>
      </c>
      <c r="J35" s="59">
        <f>MIN($F35,'Grilles et calculs individuels'!C36*'données complémentaire'!$I35)*$G35</f>
        <v>1859.715669401676</v>
      </c>
      <c r="K35" s="59">
        <f>MIN($F35,'Grilles et calculs individuels'!D36*'données complémentaire'!$I35)*$G35</f>
        <v>1948.5400000000002</v>
      </c>
      <c r="L35" s="59">
        <f>MIN($F35,'Grilles et calculs individuels'!E36*'données complémentaire'!$I35)*$G35</f>
        <v>1948.5400000000002</v>
      </c>
      <c r="M35" s="59">
        <f>MIN($F35,'Grilles et calculs individuels'!F36*'données complémentaire'!$I35)*$G35</f>
        <v>1948.5400000000002</v>
      </c>
      <c r="N35" s="59">
        <f>MIN($F35,'Grilles et calculs individuels'!G36*'données complémentaire'!$I35)*$G35</f>
        <v>1656.3889268602593</v>
      </c>
      <c r="O35" s="59">
        <f>MIN($F35,'Grilles et calculs individuels'!H36*'données complémentaire'!$I35)*$G35</f>
        <v>1656.3889268602593</v>
      </c>
      <c r="P35" s="59">
        <f>MIN($F35,'Grilles et calculs individuels'!I36*'données complémentaire'!$I35)*$G35</f>
        <v>1601.830012695385</v>
      </c>
      <c r="Q35" s="59">
        <f>MIN($F35,'Grilles et calculs individuels'!J36*'données complémentaire'!$I35)*$G35</f>
        <v>1948.5400000000002</v>
      </c>
    </row>
    <row r="36" spans="3:17" ht="12.75" customHeight="1">
      <c r="C36" s="58">
        <v>29587</v>
      </c>
      <c r="D36" s="58">
        <v>29951</v>
      </c>
      <c r="E36">
        <v>68760</v>
      </c>
      <c r="F36" s="57">
        <f aca="true" t="shared" si="2" ref="F36:F48">E36/(12*6.55957)</f>
        <v>873.5328687703616</v>
      </c>
      <c r="G36" s="35">
        <v>2.094</v>
      </c>
      <c r="H36" s="57"/>
      <c r="I36" s="6">
        <v>33</v>
      </c>
      <c r="J36" s="59">
        <f>MIN($F36,'Grilles et calculs individuels'!C37*'données complémentaire'!$I36)*$G36</f>
        <v>1781.2123014543001</v>
      </c>
      <c r="K36" s="59">
        <f>MIN($F36,'Grilles et calculs individuels'!D37*'données complémentaire'!$I36)*$G36</f>
        <v>1829.177827205137</v>
      </c>
      <c r="L36" s="59">
        <f>MIN($F36,'Grilles et calculs individuels'!E37*'données complémentaire'!$I36)*$G36</f>
        <v>1829.177827205137</v>
      </c>
      <c r="M36" s="59">
        <f>MIN($F36,'Grilles et calculs individuels'!F37*'données complémentaire'!$I36)*$G36</f>
        <v>1829.177827205137</v>
      </c>
      <c r="N36" s="59">
        <f>MIN($F36,'Grilles et calculs individuels'!G37*'données complémentaire'!$I36)*$G36</f>
        <v>1647.9895476297932</v>
      </c>
      <c r="O36" s="59">
        <f>MIN($F36,'Grilles et calculs individuels'!H37*'données complémentaire'!$I36)*$G36</f>
        <v>1647.9895476297932</v>
      </c>
      <c r="P36" s="59">
        <f>MIN($F36,'Grilles et calculs individuels'!I37*'données complémentaire'!$I36)*$G36</f>
        <v>1593.7072961514662</v>
      </c>
      <c r="Q36" s="59">
        <f>MIN($F36,'Grilles et calculs individuels'!J37*'données complémentaire'!$I36)*$G36</f>
        <v>1829.177827205137</v>
      </c>
    </row>
    <row r="37" spans="3:17" ht="12.75" customHeight="1">
      <c r="C37" s="58">
        <v>29221</v>
      </c>
      <c r="D37" s="58">
        <v>29586</v>
      </c>
      <c r="E37">
        <v>60120</v>
      </c>
      <c r="F37" s="57">
        <f t="shared" si="2"/>
        <v>763.7695763594261</v>
      </c>
      <c r="G37" s="35">
        <v>2.371</v>
      </c>
      <c r="H37" s="57"/>
      <c r="I37" s="6">
        <v>34</v>
      </c>
      <c r="J37" s="59">
        <f>MIN($F37,'Grilles et calculs individuels'!C38*'données complémentaire'!$I37)*$G37</f>
        <v>1769.8991071877042</v>
      </c>
      <c r="K37" s="59">
        <f>MIN($F37,'Grilles et calculs individuels'!D38*'données complémentaire'!$I37)*$G37</f>
        <v>1810.8976655481993</v>
      </c>
      <c r="L37" s="59">
        <f>MIN($F37,'Grilles et calculs individuels'!E38*'données complémentaire'!$I37)*$G37</f>
        <v>1810.8976655481993</v>
      </c>
      <c r="M37" s="59">
        <f>MIN($F37,'Grilles et calculs individuels'!F38*'données complémentaire'!$I37)*$G37</f>
        <v>1810.8976655481993</v>
      </c>
      <c r="N37" s="59">
        <f>MIN($F37,'Grilles et calculs individuels'!G38*'données complémentaire'!$I37)*$G37</f>
        <v>1603.2053897507535</v>
      </c>
      <c r="O37" s="59">
        <f>MIN($F37,'Grilles et calculs individuels'!H38*'données complémentaire'!$I37)*$G37</f>
        <v>1603.2053897507535</v>
      </c>
      <c r="P37" s="59">
        <f>MIN($F37,'Grilles et calculs individuels'!I38*'données complémentaire'!$I37)*$G37</f>
        <v>1578.6825764633259</v>
      </c>
      <c r="Q37" s="59">
        <f>MIN($F37,'Grilles et calculs individuels'!J38*'données complémentaire'!$I37)*$G37</f>
        <v>1810.8976655481993</v>
      </c>
    </row>
    <row r="38" spans="3:17" ht="12.75" customHeight="1">
      <c r="C38" s="58">
        <v>28856</v>
      </c>
      <c r="D38" s="58">
        <v>29220</v>
      </c>
      <c r="E38">
        <v>53640</v>
      </c>
      <c r="F38" s="57">
        <f t="shared" si="2"/>
        <v>681.4471070512244</v>
      </c>
      <c r="G38" s="35">
        <v>2.697</v>
      </c>
      <c r="H38" s="57"/>
      <c r="I38" s="6">
        <v>35</v>
      </c>
      <c r="J38" s="59">
        <f>MIN($F38,'Grilles et calculs individuels'!C39*'données complémentaire'!$I38)*$G38</f>
        <v>1696.6261018069779</v>
      </c>
      <c r="K38" s="59">
        <f>MIN($F38,'Grilles et calculs individuels'!D39*'données complémentaire'!$I38)*$G38</f>
        <v>1837.8628477171524</v>
      </c>
      <c r="L38" s="59">
        <f>MIN($F38,'Grilles et calculs individuels'!E39*'données complémentaire'!$I38)*$G38</f>
        <v>1837.8628477171524</v>
      </c>
      <c r="M38" s="59">
        <f>MIN($F38,'Grilles et calculs individuels'!F39*'données complémentaire'!$I38)*$G38</f>
        <v>1837.8628477171524</v>
      </c>
      <c r="N38" s="59">
        <f>MIN($F38,'Grilles et calculs individuels'!G39*'données complémentaire'!$I38)*$G38</f>
        <v>1594.2498460951524</v>
      </c>
      <c r="O38" s="59">
        <f>MIN($F38,'Grilles et calculs individuels'!H39*'données complémentaire'!$I38)*$G38</f>
        <v>1594.2498460951524</v>
      </c>
      <c r="P38" s="59">
        <f>MIN($F38,'Grilles et calculs individuels'!I39*'données complémentaire'!$I38)*$G38</f>
        <v>1564.9889580335293</v>
      </c>
      <c r="Q38" s="59">
        <f>MIN($F38,'Grilles et calculs individuels'!J39*'données complémentaire'!$I38)*$G38</f>
        <v>1800.2290194328652</v>
      </c>
    </row>
    <row r="39" spans="3:17" ht="12.75" customHeight="1">
      <c r="C39" s="58">
        <v>28491</v>
      </c>
      <c r="D39" s="58">
        <v>28855</v>
      </c>
      <c r="E39">
        <v>48000</v>
      </c>
      <c r="F39" s="57">
        <f t="shared" si="2"/>
        <v>609.7960689496416</v>
      </c>
      <c r="G39" s="35">
        <v>2.955</v>
      </c>
      <c r="H39" s="57"/>
      <c r="I39" s="6">
        <v>36</v>
      </c>
      <c r="J39" s="59">
        <f>MIN($F39,'Grilles et calculs individuels'!C40*'données complémentaire'!$I39)*$G39</f>
        <v>1677.6323142883368</v>
      </c>
      <c r="K39" s="59">
        <f>MIN($F39,'Grilles et calculs individuels'!D40*'données complémentaire'!$I39)*$G39</f>
        <v>1801.947383746191</v>
      </c>
      <c r="L39" s="59">
        <f>MIN($F39,'Grilles et calculs individuels'!E40*'données complémentaire'!$I39)*$G39</f>
        <v>1801.947383746191</v>
      </c>
      <c r="M39" s="59">
        <f>MIN($F39,'Grilles et calculs individuels'!F40*'données complémentaire'!$I39)*$G39</f>
        <v>1801.947383746191</v>
      </c>
      <c r="N39" s="59">
        <f>MIN($F39,'Grilles et calculs individuels'!G40*'données complémentaire'!$I39)*$G39</f>
        <v>1566.750786198854</v>
      </c>
      <c r="O39" s="59">
        <f>MIN($F39,'Grilles et calculs individuels'!H40*'données complémentaire'!$I39)*$G39</f>
        <v>1566.750786198854</v>
      </c>
      <c r="P39" s="59"/>
      <c r="Q39" s="59"/>
    </row>
    <row r="40" spans="3:17" ht="12.75" customHeight="1">
      <c r="C40" s="58">
        <v>28126</v>
      </c>
      <c r="D40" s="58">
        <v>28490</v>
      </c>
      <c r="E40">
        <v>43320</v>
      </c>
      <c r="F40" s="57">
        <f t="shared" si="2"/>
        <v>550.3409522270515</v>
      </c>
      <c r="G40" s="35">
        <v>3.286</v>
      </c>
      <c r="H40" s="57"/>
      <c r="I40" s="6">
        <v>37</v>
      </c>
      <c r="J40" s="59">
        <f>MIN($F40,'Grilles et calculs individuels'!C41*'données complémentaire'!$I40)*$G40</f>
        <v>1650.3878016093302</v>
      </c>
      <c r="K40" s="59">
        <f>MIN($F40,'Grilles et calculs individuels'!D41*'données complémentaire'!$I40)*$G40</f>
        <v>1808.4203690180912</v>
      </c>
      <c r="L40" s="59">
        <f>MIN($F40,'Grilles et calculs individuels'!E41*'données complémentaire'!$I40)*$G40</f>
        <v>1808.4203690180912</v>
      </c>
      <c r="M40" s="59">
        <f>MIN($F40,'Grilles et calculs individuels'!F41*'données complémentaire'!$I40)*$G40</f>
        <v>1808.4203690180912</v>
      </c>
      <c r="N40" s="59">
        <f>MIN($F40,'Grilles et calculs individuels'!G41*'données complémentaire'!$I40)*$G40</f>
        <v>1577.5707167463536</v>
      </c>
      <c r="O40" s="59">
        <f>MIN($F40,'Grilles et calculs individuels'!H41*'données complémentaire'!$I40)*$G40</f>
        <v>1577.5707167463536</v>
      </c>
      <c r="P40" s="59"/>
      <c r="Q40" s="59"/>
    </row>
    <row r="41" spans="3:17" ht="12.75" customHeight="1">
      <c r="C41" s="58">
        <v>27760</v>
      </c>
      <c r="D41" s="58">
        <v>28125</v>
      </c>
      <c r="E41">
        <v>37920</v>
      </c>
      <c r="F41" s="57">
        <f t="shared" si="2"/>
        <v>481.73889447021685</v>
      </c>
      <c r="G41" s="35">
        <v>3.81</v>
      </c>
      <c r="H41" s="57"/>
      <c r="I41" s="6">
        <v>38</v>
      </c>
      <c r="J41" s="59">
        <f>MIN($F41,'Grilles et calculs individuels'!C42*'données complémentaire'!$I41)*$G41</f>
        <v>1743.4797828862474</v>
      </c>
      <c r="K41" s="59">
        <f>MIN($F41,'Grilles et calculs individuels'!D42*'données complémentaire'!$I41)*$G41</f>
        <v>1835.4251879315261</v>
      </c>
      <c r="L41" s="59">
        <f>MIN($F41,'Grilles et calculs individuels'!E42*'données complémentaire'!$I41)*$G41</f>
        <v>1835.4251879315261</v>
      </c>
      <c r="M41" s="59">
        <f>MIN($F41,'Grilles et calculs individuels'!F42*'données complémentaire'!$I41)*$G41</f>
        <v>1835.4251879315261</v>
      </c>
      <c r="N41" s="59">
        <f>MIN($F41,'Grilles et calculs individuels'!G42*'données complémentaire'!$I41)*$G41</f>
        <v>1656.3002564244514</v>
      </c>
      <c r="O41" s="59">
        <f>MIN($F41,'Grilles et calculs individuels'!H42*'données complémentaire'!$I41)*$G41</f>
        <v>1656.3002564244514</v>
      </c>
      <c r="P41" s="59"/>
      <c r="Q41" s="59"/>
    </row>
    <row r="42" spans="3:17" ht="12.75" customHeight="1">
      <c r="C42" s="58">
        <v>27395</v>
      </c>
      <c r="D42" s="58">
        <v>27759</v>
      </c>
      <c r="E42">
        <v>33000</v>
      </c>
      <c r="F42" s="57">
        <f t="shared" si="2"/>
        <v>419.23479740287854</v>
      </c>
      <c r="G42" s="35">
        <v>4.482</v>
      </c>
      <c r="H42" s="57"/>
      <c r="I42" s="6">
        <v>39</v>
      </c>
      <c r="J42" s="59">
        <f>MIN($F42,'Grilles et calculs individuels'!C43*'données complémentaire'!$I42)*$G42</f>
        <v>1806.4648572130984</v>
      </c>
      <c r="K42" s="59">
        <f>MIN($F42,'Grilles et calculs individuels'!D43*'données complémentaire'!$I42)*$G42</f>
        <v>1879.0103619597016</v>
      </c>
      <c r="L42" s="59">
        <f>MIN($F42,'Grilles et calculs individuels'!E43*'données complémentaire'!$I42)*$G42</f>
        <v>1879.0103619597016</v>
      </c>
      <c r="M42" s="59">
        <f>MIN($F42,'Grilles et calculs individuels'!F43*'données complémentaire'!$I42)*$G42</f>
        <v>1879.0103619597016</v>
      </c>
      <c r="N42" s="59">
        <f>MIN($F42,'Grilles et calculs individuels'!G43*'données complémentaire'!$I42)*$G42</f>
        <v>1757.4858587036451</v>
      </c>
      <c r="O42" s="59">
        <f>MIN($F42,'Grilles et calculs individuels'!H43*'données complémentaire'!$I42)*$G42</f>
        <v>1757.4858587036451</v>
      </c>
      <c r="P42" s="59"/>
      <c r="Q42" s="59"/>
    </row>
    <row r="43" spans="3:17" ht="12.75" customHeight="1">
      <c r="C43" s="58">
        <v>27030</v>
      </c>
      <c r="D43" s="58">
        <v>27394</v>
      </c>
      <c r="E43">
        <v>27840</v>
      </c>
      <c r="F43" s="57">
        <f t="shared" si="2"/>
        <v>353.6817199907921</v>
      </c>
      <c r="G43" s="35">
        <v>5.325</v>
      </c>
      <c r="H43" s="57"/>
      <c r="I43" s="6">
        <v>40</v>
      </c>
      <c r="J43" s="59">
        <f>MIN($F43,'Grilles et calculs individuels'!C44*'données complémentaire'!$I43)*$G43</f>
        <v>1883.355158950968</v>
      </c>
      <c r="K43" s="59">
        <f>MIN($F43,'Grilles et calculs individuels'!D44*'données complémentaire'!$I43)*$G43</f>
        <v>1883.355158950968</v>
      </c>
      <c r="L43" s="59">
        <f>MIN($F43,'Grilles et calculs individuels'!E44*'données complémentaire'!$I43)*$G43</f>
        <v>1883.355158950968</v>
      </c>
      <c r="M43" s="59">
        <f>MIN($F43,'Grilles et calculs individuels'!F44*'données complémentaire'!$I43)*$G43</f>
        <v>1883.355158950968</v>
      </c>
      <c r="N43" s="59">
        <f>MIN($F43,'Grilles et calculs individuels'!G44*'données complémentaire'!$I43)*$G43</f>
        <v>1838.4429004832311</v>
      </c>
      <c r="O43" s="59">
        <f>MIN($F43,'Grilles et calculs individuels'!H44*'données complémentaire'!$I43)*$G43</f>
        <v>1838.4429004832311</v>
      </c>
      <c r="P43" s="59"/>
      <c r="Q43" s="59"/>
    </row>
    <row r="44" spans="3:17" ht="12.75" customHeight="1">
      <c r="C44" s="58">
        <v>26665</v>
      </c>
      <c r="D44" s="58">
        <v>27029</v>
      </c>
      <c r="E44">
        <v>24480</v>
      </c>
      <c r="F44" s="57">
        <f t="shared" si="2"/>
        <v>310.9959951643172</v>
      </c>
      <c r="G44" s="35">
        <v>6.039</v>
      </c>
      <c r="H44" s="57"/>
      <c r="I44" s="6">
        <v>41</v>
      </c>
      <c r="J44" s="59">
        <f>MIN($F44,'Grilles et calculs individuels'!C45*'données complémentaire'!$I44)*$G44</f>
        <v>1859.4331046238626</v>
      </c>
      <c r="K44" s="59">
        <f>MIN($F44,'Grilles et calculs individuels'!D45*'données complémentaire'!$I44)*$G44</f>
        <v>1878.1048147973115</v>
      </c>
      <c r="L44" s="59">
        <f>MIN($F44,'Grilles et calculs individuels'!E45*'données complémentaire'!$I44)*$G44</f>
        <v>1878.1048147973115</v>
      </c>
      <c r="M44" s="59">
        <f>MIN($F44,'Grilles et calculs individuels'!F45*'données complémentaire'!$I44)*$G44</f>
        <v>1878.1048147973115</v>
      </c>
      <c r="N44" s="59">
        <f>MIN($F44,'Grilles et calculs individuels'!G45*'données complémentaire'!$I44)*$G44</f>
        <v>1825.3050386461616</v>
      </c>
      <c r="O44" s="59">
        <f>MIN($F44,'Grilles et calculs individuels'!H45*'données complémentaire'!$I44)*$G44</f>
        <v>1825.3050386461616</v>
      </c>
      <c r="P44" s="59"/>
      <c r="Q44" s="59"/>
    </row>
    <row r="45" spans="3:17" ht="12.75" customHeight="1">
      <c r="C45" s="58">
        <v>26299</v>
      </c>
      <c r="D45" s="58">
        <v>26664</v>
      </c>
      <c r="E45">
        <v>21960</v>
      </c>
      <c r="F45" s="57">
        <f t="shared" si="2"/>
        <v>278.98170154446103</v>
      </c>
      <c r="G45" s="35">
        <v>6.535</v>
      </c>
      <c r="H45" s="57"/>
      <c r="I45" s="6">
        <v>42</v>
      </c>
      <c r="J45" s="59"/>
      <c r="K45" s="59">
        <f>MIN($F45,'Grilles et calculs individuels'!D46*'données complémentaire'!$I45)*$G45</f>
        <v>1823.1454195930528</v>
      </c>
      <c r="L45" s="59"/>
      <c r="M45" s="59"/>
      <c r="N45" s="59"/>
      <c r="O45" s="59"/>
      <c r="P45" s="59"/>
      <c r="Q45" s="59"/>
    </row>
    <row r="46" spans="3:17" ht="12.75" customHeight="1">
      <c r="C46" s="58">
        <v>25934</v>
      </c>
      <c r="D46" s="58">
        <v>26298</v>
      </c>
      <c r="E46">
        <v>19800</v>
      </c>
      <c r="F46" s="57">
        <f t="shared" si="2"/>
        <v>251.54087844172713</v>
      </c>
      <c r="G46" s="35">
        <v>7.252</v>
      </c>
      <c r="H46" s="57"/>
      <c r="I46" s="3" t="s">
        <v>76</v>
      </c>
      <c r="J46" s="4">
        <f>AVERAGE(J3:J27)*MAX(0.5-((COUNTBLANK(J3:J44)-1)*4*0.00625),0.375)</f>
        <v>1255.9880696039768</v>
      </c>
      <c r="K46" s="4">
        <f>AVERAGE(K3:K27)*MAX(0.5-((COUNTBLANK(K3:K44)-1)*4*0.00625),0.375)</f>
        <v>1434.712340622862</v>
      </c>
      <c r="L46" s="4">
        <f>AVERAGE(L3:L27)*MAX(0.5-((COUNTBLANK(L3:L44)-1)*4*0.00625),0.375)</f>
        <v>1434.712340622862</v>
      </c>
      <c r="M46" s="4">
        <f>AVERAGE(M3:M27)*MAX(0.5-((COUNTBLANK(M3:M44)-1)*4*0.00625),0.375)</f>
        <v>1432.1492799128625</v>
      </c>
      <c r="N46" s="4">
        <f>AVERAGE(N3:N27)*MAX(0.5-((COUNTBLANK(N3:N44)-1)*4*0.00625),0.375)</f>
        <v>1025.782149401465</v>
      </c>
      <c r="O46" s="4">
        <f>AVERAGE(O3:O27)*MAX(0.5-((COUNTBLANK(O3:O44)-1)*4*0.00625),0.375)</f>
        <v>1025.782149401465</v>
      </c>
      <c r="P46" s="4">
        <f>AVERAGE(P3:P27)*0.5</f>
        <v>950.1748342746647</v>
      </c>
      <c r="Q46" s="4">
        <f>AVERAGE(Q3:Q27)*0.5</f>
        <v>1363.951695155107</v>
      </c>
    </row>
    <row r="47" spans="3:8" ht="12.75" customHeight="1">
      <c r="C47" s="58">
        <v>25569</v>
      </c>
      <c r="D47" s="58">
        <v>25933</v>
      </c>
      <c r="E47">
        <v>18000</v>
      </c>
      <c r="F47" s="57">
        <f t="shared" si="2"/>
        <v>228.6735258561156</v>
      </c>
      <c r="G47" s="35">
        <v>8.085</v>
      </c>
      <c r="H47" s="57"/>
    </row>
    <row r="48" spans="3:8" ht="12.75" customHeight="1">
      <c r="C48" s="58">
        <v>25204</v>
      </c>
      <c r="D48" s="58">
        <v>25568</v>
      </c>
      <c r="E48">
        <v>16320</v>
      </c>
      <c r="F48" s="57">
        <f t="shared" si="2"/>
        <v>207.33066344287812</v>
      </c>
      <c r="G48" s="35">
        <v>8.899000000000001</v>
      </c>
      <c r="H48" s="57"/>
    </row>
  </sheetData>
  <sheetProtection password="9CD6" sheet="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N99"/>
  <sheetViews>
    <sheetView tabSelected="1" workbookViewId="0" topLeftCell="A1">
      <selection activeCell="D18" sqref="D18"/>
    </sheetView>
  </sheetViews>
  <sheetFormatPr defaultColWidth="11.421875" defaultRowHeight="12.75" customHeight="1"/>
  <cols>
    <col min="1" max="1" width="11.57421875" style="0" customWidth="1"/>
    <col min="2" max="2" width="22.28125" style="35" customWidth="1"/>
    <col min="3" max="3" width="18.140625" style="0" customWidth="1"/>
    <col min="4" max="4" width="15.421875" style="0" customWidth="1"/>
    <col min="5" max="5" width="16.7109375" style="0" customWidth="1"/>
    <col min="6" max="6" width="22.28125" style="0" customWidth="1"/>
    <col min="7" max="8" width="15.421875" style="57" customWidth="1"/>
    <col min="9" max="13" width="11.57421875" style="57" customWidth="1"/>
    <col min="14" max="14" width="31.421875" style="0" customWidth="1"/>
    <col min="15" max="16384" width="11.57421875" style="0" customWidth="1"/>
  </cols>
  <sheetData>
    <row r="1" spans="6:9" ht="12.75" customHeight="1">
      <c r="F1" t="s">
        <v>77</v>
      </c>
      <c r="H1" s="60" t="s">
        <v>78</v>
      </c>
      <c r="I1" s="5">
        <v>0.061</v>
      </c>
    </row>
    <row r="2" spans="6:14" ht="12.75" customHeight="1">
      <c r="F2" s="3" t="s">
        <v>56</v>
      </c>
      <c r="G2" s="61" t="s">
        <v>3</v>
      </c>
      <c r="H2" s="61" t="s">
        <v>57</v>
      </c>
      <c r="I2" s="61" t="s">
        <v>5</v>
      </c>
      <c r="J2" s="61" t="s">
        <v>6</v>
      </c>
      <c r="K2" s="61" t="s">
        <v>58</v>
      </c>
      <c r="L2" s="61" t="s">
        <v>59</v>
      </c>
      <c r="M2" s="61" t="s">
        <v>60</v>
      </c>
      <c r="N2" s="3" t="s">
        <v>10</v>
      </c>
    </row>
    <row r="3" spans="2:14" ht="12.75" customHeight="1">
      <c r="B3" s="35" t="s">
        <v>79</v>
      </c>
      <c r="C3" t="s">
        <v>47</v>
      </c>
      <c r="D3" t="s">
        <v>80</v>
      </c>
      <c r="F3" s="10">
        <v>0</v>
      </c>
      <c r="G3" s="57">
        <f>MIN('plafond sécu et CNAV'!$F3,'Grilles et calculs individuels'!C4*'données complémentaire'!$I3)*$I$1/$B4</f>
        <v>9.532836574064971</v>
      </c>
      <c r="H3" s="57">
        <f>MIN('plafond sécu et CNAV'!$F3,'Grilles et calculs individuels'!D4*'données complémentaire'!$I3)*$I$1/$B4</f>
        <v>12.508699840748678</v>
      </c>
      <c r="I3" s="57">
        <f>MIN('plafond sécu et CNAV'!$F3,'Grilles et calculs individuels'!E4*'données complémentaire'!$I3)*$I$1/$B4</f>
        <v>12.508699840748678</v>
      </c>
      <c r="J3" s="57">
        <f>MIN('plafond sécu et CNAV'!$F3,'Grilles et calculs individuels'!F4*'données complémentaire'!$I3)*$I$1/$B4</f>
        <v>12.179811781976419</v>
      </c>
      <c r="K3" s="57">
        <f>MIN('plafond sécu et CNAV'!$F3,'Grilles et calculs individuels'!G4*'données complémentaire'!$I3)*$I$1/$B4</f>
        <v>7.441177280144702</v>
      </c>
      <c r="L3" s="57">
        <f>MIN('plafond sécu et CNAV'!$F3,'Grilles et calculs individuels'!H4*'données complémentaire'!$I3)*$I$1/$B4</f>
        <v>7.441177280144702</v>
      </c>
      <c r="M3" s="57">
        <f>MIN('plafond sécu et CNAV'!$F3,'Grilles et calculs individuels'!I4*'données complémentaire'!$I3)*$I$1/$B4</f>
        <v>7.441177280144702</v>
      </c>
      <c r="N3" s="57">
        <f>MIN('plafond sécu et CNAV'!$F3,'Grilles et calculs individuels'!J4*'données complémentaire'!$I3)*$I$1/$B4</f>
        <v>12.179811781976419</v>
      </c>
    </row>
    <row r="4" spans="1:14" ht="12.75" customHeight="1">
      <c r="A4">
        <v>2014</v>
      </c>
      <c r="B4" s="35">
        <v>15.2589</v>
      </c>
      <c r="C4" s="5">
        <v>0.002</v>
      </c>
      <c r="D4">
        <v>1.2513</v>
      </c>
      <c r="E4" s="5"/>
      <c r="F4" s="10">
        <v>1</v>
      </c>
      <c r="G4" s="57">
        <f>MIN('plafond sécu et CNAV'!$F4,'Grilles et calculs individuels'!C5*'données complémentaire'!$I4)*$I$1/$B5</f>
        <v>9.551929290010769</v>
      </c>
      <c r="H4" s="57">
        <f>MIN('plafond sécu et CNAV'!$F4,'Grilles et calculs individuels'!D5*'données complémentaire'!$I4)*$I$1/$B5</f>
        <v>12.361508759948517</v>
      </c>
      <c r="I4" s="57">
        <f>MIN('plafond sécu et CNAV'!$F4,'Grilles et calculs individuels'!E5*'données complémentaire'!$I4)*$I$1/$B5</f>
        <v>12.361508759948517</v>
      </c>
      <c r="J4" s="57">
        <f>MIN('plafond sécu et CNAV'!$F4,'Grilles et calculs individuels'!F5*'données complémentaire'!$I4)*$I$1/$B5</f>
        <v>12.204205957290325</v>
      </c>
      <c r="K4" s="57">
        <f>MIN('plafond sécu et CNAV'!$F4,'Grilles et calculs individuels'!G5*'données complémentaire'!$I4)*$I$1/$B5</f>
        <v>7.456080743873289</v>
      </c>
      <c r="L4" s="57">
        <f>MIN('plafond sécu et CNAV'!$F4,'Grilles et calculs individuels'!H5*'données complémentaire'!$I4)*$I$1/$B5</f>
        <v>7.456080743873289</v>
      </c>
      <c r="M4" s="57">
        <f>MIN('plafond sécu et CNAV'!$F4,'Grilles et calculs individuels'!I5*'données complémentaire'!$I4)*$I$1/$B5</f>
        <v>7.456080743873289</v>
      </c>
      <c r="N4" s="57">
        <f>MIN('plafond sécu et CNAV'!$F4,'Grilles et calculs individuels'!J5*'données complémentaire'!$I4)*$I$1/$B5</f>
        <v>12.204205957290325</v>
      </c>
    </row>
    <row r="5" spans="1:14" ht="12.75" customHeight="1">
      <c r="A5">
        <v>2013</v>
      </c>
      <c r="B5" s="35">
        <v>15.2284</v>
      </c>
      <c r="C5" s="5">
        <v>0.0117</v>
      </c>
      <c r="E5" s="5"/>
      <c r="F5" s="10">
        <v>2</v>
      </c>
      <c r="G5" s="57">
        <f>MIN('plafond sécu et CNAV'!$F5,'Grilles et calculs individuels'!C6*'données complémentaire'!$I5)*$I$1/$B6</f>
        <v>9.66335831207483</v>
      </c>
      <c r="H5" s="57">
        <f>MIN('plafond sécu et CNAV'!$F5,'Grilles et calculs individuels'!D6*'données complémentaire'!$I5)*$I$1/$B6</f>
        <v>12.282831101190476</v>
      </c>
      <c r="I5" s="57">
        <f>MIN('plafond sécu et CNAV'!$F5,'Grilles et calculs individuels'!E6*'données complémentaire'!$I5)*$I$1/$B6</f>
        <v>12.282831101190476</v>
      </c>
      <c r="J5" s="57">
        <f>MIN('plafond sécu et CNAV'!$F5,'Grilles et calculs individuels'!F6*'données complémentaire'!$I5)*$I$1/$B6</f>
        <v>12.282831101190476</v>
      </c>
      <c r="K5" s="57">
        <f>MIN('plafond sécu et CNAV'!$F5,'Grilles et calculs individuels'!G6*'données complémentaire'!$I5)*$I$1/$B6</f>
        <v>7.543060427295918</v>
      </c>
      <c r="L5" s="57">
        <f>MIN('plafond sécu et CNAV'!$F5,'Grilles et calculs individuels'!H6*'données complémentaire'!$I5)*$I$1/$B6</f>
        <v>7.543060427295918</v>
      </c>
      <c r="M5" s="57">
        <f>MIN('plafond sécu et CNAV'!$F5,'Grilles et calculs individuels'!I6*'données complémentaire'!$I5)*$I$1/$B6</f>
        <v>7.543060427295918</v>
      </c>
      <c r="N5" s="57">
        <f>MIN('plafond sécu et CNAV'!$F5,'Grilles et calculs individuels'!J6*'données complémentaire'!$I5)*$I$1/$B6</f>
        <v>12.282831101190476</v>
      </c>
    </row>
    <row r="6" spans="1:14" ht="12.75" customHeight="1">
      <c r="A6">
        <v>2012</v>
      </c>
      <c r="B6" s="35">
        <v>15.0528</v>
      </c>
      <c r="C6" s="5">
        <v>0.022500000000000003</v>
      </c>
      <c r="E6" s="5"/>
      <c r="F6" s="10">
        <v>3</v>
      </c>
      <c r="G6" s="57">
        <f>MIN('plafond sécu et CNAV'!$F6,'Grilles et calculs individuels'!C7*'données complémentaire'!$I6)*$I$1/$B7</f>
        <v>9.880760243451798</v>
      </c>
      <c r="H6" s="57">
        <f>MIN('plafond sécu et CNAV'!$F6,'Grilles et calculs individuels'!D7*'données complémentaire'!$I6)*$I$1/$B7</f>
        <v>12.206961199869578</v>
      </c>
      <c r="I6" s="57">
        <f>MIN('plafond sécu et CNAV'!$F6,'Grilles et calculs individuels'!E7*'données complémentaire'!$I6)*$I$1/$B7</f>
        <v>12.206961199869578</v>
      </c>
      <c r="J6" s="57">
        <f>MIN('plafond sécu et CNAV'!$F6,'Grilles et calculs individuels'!F7*'données complémentaire'!$I6)*$I$1/$B7</f>
        <v>12.206961199869578</v>
      </c>
      <c r="K6" s="57">
        <f>MIN('plafond sécu et CNAV'!$F6,'Grilles et calculs individuels'!G7*'données complémentaire'!$I6)*$I$1/$B7</f>
        <v>7.712760841212911</v>
      </c>
      <c r="L6" s="57">
        <f>MIN('plafond sécu et CNAV'!$F6,'Grilles et calculs individuels'!H7*'données complémentaire'!$I6)*$I$1/$B7</f>
        <v>7.712760841212911</v>
      </c>
      <c r="M6" s="57">
        <f>MIN('plafond sécu et CNAV'!$F6,'Grilles et calculs individuels'!I7*'données complémentaire'!$I6)*$I$1/$B7</f>
        <v>7.712760841212911</v>
      </c>
      <c r="N6" s="57">
        <f>MIN('plafond sécu et CNAV'!$F6,'Grilles et calculs individuels'!J7*'données complémentaire'!$I6)*$I$1/$B7</f>
        <v>12.206961199869578</v>
      </c>
    </row>
    <row r="7" spans="1:14" ht="12.75" customHeight="1">
      <c r="A7">
        <v>2011</v>
      </c>
      <c r="B7" s="35">
        <v>14.7216</v>
      </c>
      <c r="C7" s="5">
        <v>0.022</v>
      </c>
      <c r="E7" s="5"/>
      <c r="F7" s="10">
        <v>4</v>
      </c>
      <c r="G7" s="57">
        <f>MIN('plafond sécu et CNAV'!$F7,'Grilles et calculs individuels'!C8*'données complémentaire'!$I7)*$I$1/$B8</f>
        <v>10.098134636611661</v>
      </c>
      <c r="H7" s="57">
        <f>MIN('plafond sécu et CNAV'!$F7,'Grilles et calculs individuels'!D8*'données complémentaire'!$I7)*$I$1/$B8</f>
        <v>12.217192999507104</v>
      </c>
      <c r="I7" s="57">
        <f>MIN('plafond sécu et CNAV'!$F7,'Grilles et calculs individuels'!E8*'données complémentaire'!$I7)*$I$1/$B8</f>
        <v>12.217192999507104</v>
      </c>
      <c r="J7" s="57">
        <f>MIN('plafond sécu et CNAV'!$F7,'Grilles et calculs individuels'!F8*'données complémentaire'!$I7)*$I$1/$B8</f>
        <v>12.217192999507104</v>
      </c>
      <c r="K7" s="57">
        <f>MIN('plafond sécu et CNAV'!$F7,'Grilles et calculs individuels'!G8*'données complémentaire'!$I7)*$I$1/$B8</f>
        <v>7.882439759245246</v>
      </c>
      <c r="L7" s="57">
        <f>MIN('plafond sécu et CNAV'!$F7,'Grilles et calculs individuels'!H8*'données complémentaire'!$I7)*$I$1/$B8</f>
        <v>7.882439759245246</v>
      </c>
      <c r="M7" s="57">
        <f>MIN('plafond sécu et CNAV'!$F7,'Grilles et calculs individuels'!I8*'données complémentaire'!$I7)*$I$1/$B8</f>
        <v>7.882439759245246</v>
      </c>
      <c r="N7" s="57">
        <f>MIN('plafond sécu et CNAV'!$F7,'Grilles et calculs individuels'!J8*'données complémentaire'!$I7)*$I$1/$B8</f>
        <v>12.217192999507104</v>
      </c>
    </row>
    <row r="8" spans="1:14" ht="12.75" customHeight="1">
      <c r="A8">
        <v>2010</v>
      </c>
      <c r="B8" s="35">
        <v>14.4047</v>
      </c>
      <c r="C8" s="5">
        <v>0.013000000000000001</v>
      </c>
      <c r="E8" s="5"/>
      <c r="F8" s="10">
        <v>5</v>
      </c>
      <c r="G8" s="57">
        <f>MIN('plafond sécu et CNAV'!$F8,'Grilles et calculs individuels'!C9*'données complémentaire'!$I8)*$I$1/$B9</f>
        <v>10.148103666557475</v>
      </c>
      <c r="H8" s="57">
        <f>MIN('plafond sécu et CNAV'!$F8,'Grilles et calculs individuels'!D9*'données complémentaire'!$I8)*$I$1/$B9</f>
        <v>12.26451848830504</v>
      </c>
      <c r="I8" s="57">
        <f>MIN('plafond sécu et CNAV'!$F8,'Grilles et calculs individuels'!E9*'données complémentaire'!$I8)*$I$1/$B9</f>
        <v>12.26451848830504</v>
      </c>
      <c r="J8" s="57">
        <f>MIN('plafond sécu et CNAV'!$F8,'Grilles et calculs individuels'!F9*'données complémentaire'!$I8)*$I$1/$B9</f>
        <v>12.26451848830504</v>
      </c>
      <c r="K8" s="57">
        <f>MIN('plafond sécu et CNAV'!$F8,'Grilles et calculs individuels'!G9*'données complémentaire'!$I8)*$I$1/$B9</f>
        <v>7.921444771809424</v>
      </c>
      <c r="L8" s="57">
        <f>MIN('plafond sécu et CNAV'!$F8,'Grilles et calculs individuels'!H9*'données complémentaire'!$I8)*$I$1/$B9</f>
        <v>7.921444771809424</v>
      </c>
      <c r="M8" s="57">
        <f>MIN('plafond sécu et CNAV'!$F8,'Grilles et calculs individuels'!I9*'données complémentaire'!$I8)*$I$1/$B9</f>
        <v>7.921444771809424</v>
      </c>
      <c r="N8" s="57">
        <f>MIN('plafond sécu et CNAV'!$F8,'Grilles et calculs individuels'!J9*'données complémentaire'!$I8)*$I$1/$B9</f>
        <v>12.26451848830504</v>
      </c>
    </row>
    <row r="9" spans="1:14" ht="12.75" customHeight="1">
      <c r="A9">
        <v>2009</v>
      </c>
      <c r="B9" s="35">
        <v>14.2198</v>
      </c>
      <c r="C9" s="5">
        <v>0.018000000000000002</v>
      </c>
      <c r="E9" s="5"/>
      <c r="F9" s="10">
        <v>6</v>
      </c>
      <c r="G9" s="57">
        <f>MIN('plafond sécu et CNAV'!$F9,'Grilles et calculs individuels'!C10*'données complémentaire'!$I9)*$I$1/$B10</f>
        <v>10.247796075590445</v>
      </c>
      <c r="H9" s="57">
        <f>MIN('plafond sécu et CNAV'!$F9,'Grilles et calculs individuels'!D10*'données complémentaire'!$I9)*$I$1/$B10</f>
        <v>12.109690444145356</v>
      </c>
      <c r="I9" s="57">
        <f>MIN('plafond sécu et CNAV'!$F9,'Grilles et calculs individuels'!E10*'données complémentaire'!$I9)*$I$1/$B10</f>
        <v>12.109690444145356</v>
      </c>
      <c r="J9" s="57">
        <f>MIN('plafond sécu et CNAV'!$F9,'Grilles et calculs individuels'!F10*'données complémentaire'!$I9)*$I$1/$B10</f>
        <v>12.109690444145356</v>
      </c>
      <c r="K9" s="57">
        <f>MIN('plafond sécu et CNAV'!$F9,'Grilles et calculs individuels'!G10*'données complémentaire'!$I9)*$I$1/$B10</f>
        <v>7.999263045870395</v>
      </c>
      <c r="L9" s="57">
        <f>MIN('plafond sécu et CNAV'!$F9,'Grilles et calculs individuels'!H10*'données complémentaire'!$I9)*$I$1/$B10</f>
        <v>7.999263045870395</v>
      </c>
      <c r="M9" s="57">
        <f>MIN('plafond sécu et CNAV'!$F9,'Grilles et calculs individuels'!I10*'données complémentaire'!$I9)*$I$1/$B10</f>
        <v>7.999263045870395</v>
      </c>
      <c r="N9" s="57">
        <f>MIN('plafond sécu et CNAV'!$F9,'Grilles et calculs individuels'!J10*'données complémentaire'!$I9)*$I$1/$B10</f>
        <v>12.109690444145356</v>
      </c>
    </row>
    <row r="10" spans="1:14" ht="12.75" customHeight="1">
      <c r="A10">
        <v>2008</v>
      </c>
      <c r="B10" s="35">
        <v>13.9684</v>
      </c>
      <c r="C10" s="5">
        <v>0.034</v>
      </c>
      <c r="E10" s="5"/>
      <c r="F10" s="10">
        <v>7</v>
      </c>
      <c r="G10" s="57">
        <f>MIN('plafond sécu et CNAV'!$F10,'Grilles et calculs individuels'!C11*'données complémentaire'!$I10)*$I$1/$B11</f>
        <v>10.537340880475275</v>
      </c>
      <c r="H10" s="57">
        <f>MIN('plafond sécu et CNAV'!$F10,'Grilles et calculs individuels'!D11*'données complémentaire'!$I10)*$I$1/$B11</f>
        <v>12.110503290374636</v>
      </c>
      <c r="I10" s="57">
        <f>MIN('plafond sécu et CNAV'!$F10,'Grilles et calculs individuels'!E11*'données complémentaire'!$I10)*$I$1/$B11</f>
        <v>12.110503290374636</v>
      </c>
      <c r="J10" s="57">
        <f>MIN('plafond sécu et CNAV'!$F10,'Grilles et calculs individuels'!F11*'données complémentaire'!$I10)*$I$1/$B11</f>
        <v>12.110503290374636</v>
      </c>
      <c r="K10" s="57">
        <f>MIN('plafond sécu et CNAV'!$F10,'Grilles et calculs individuels'!G11*'données complémentaire'!$I10)*$I$1/$B11</f>
        <v>8.22527701421583</v>
      </c>
      <c r="L10" s="57">
        <f>MIN('plafond sécu et CNAV'!$F10,'Grilles et calculs individuels'!H11*'données complémentaire'!$I10)*$I$1/$B11</f>
        <v>8.22527701421583</v>
      </c>
      <c r="M10" s="57">
        <f>MIN('plafond sécu et CNAV'!$F10,'Grilles et calculs individuels'!I11*'données complémentaire'!$I10)*$I$1/$B11</f>
        <v>8.22527701421583</v>
      </c>
      <c r="N10" s="57">
        <f>MIN('plafond sécu et CNAV'!$F10,'Grilles et calculs individuels'!J11*'données complémentaire'!$I10)*$I$1/$B11</f>
        <v>12.110503290374636</v>
      </c>
    </row>
    <row r="11" spans="1:14" ht="12.75" customHeight="1">
      <c r="A11">
        <v>2007</v>
      </c>
      <c r="B11" s="35">
        <v>13.5091</v>
      </c>
      <c r="C11" s="5">
        <v>0.037</v>
      </c>
      <c r="E11" s="5"/>
      <c r="F11" s="10">
        <v>8</v>
      </c>
      <c r="G11" s="57">
        <f>MIN('plafond sécu et CNAV'!$F11,'Grilles et calculs individuels'!C12*'données complémentaire'!$I11)*$I$1/$B12</f>
        <v>10.820711898758386</v>
      </c>
      <c r="H11" s="57">
        <f>MIN('plafond sécu et CNAV'!$F11,'Grilles et calculs individuels'!D12*'données complémentaire'!$I11)*$I$1/$B12</f>
        <v>12.123112588373466</v>
      </c>
      <c r="I11" s="57">
        <f>MIN('plafond sécu et CNAV'!$F11,'Grilles et calculs individuels'!E12*'données complémentaire'!$I11)*$I$1/$B12</f>
        <v>12.123112588373466</v>
      </c>
      <c r="J11" s="57">
        <f>MIN('plafond sécu et CNAV'!$F11,'Grilles et calculs individuels'!F12*'données complémentaire'!$I11)*$I$1/$B12</f>
        <v>12.123112588373466</v>
      </c>
      <c r="K11" s="57">
        <f>MIN('plafond sécu et CNAV'!$F11,'Grilles et calculs individuels'!G12*'données complémentaire'!$I11)*$I$1/$B12</f>
        <v>8.446471825090534</v>
      </c>
      <c r="L11" s="57">
        <f>MIN('plafond sécu et CNAV'!$F11,'Grilles et calculs individuels'!H12*'données complémentaire'!$I11)*$I$1/$B12</f>
        <v>8.446471825090534</v>
      </c>
      <c r="M11" s="57">
        <f>MIN('plafond sécu et CNAV'!$F11,'Grilles et calculs individuels'!I12*'données complémentaire'!$I11)*$I$1/$B12</f>
        <v>8.446471825090534</v>
      </c>
      <c r="N11" s="57">
        <f>MIN('plafond sécu et CNAV'!$F11,'Grilles et calculs individuels'!J12*'données complémentaire'!$I11)*$I$1/$B12</f>
        <v>12.123112588373466</v>
      </c>
    </row>
    <row r="12" spans="1:14" ht="12.75" customHeight="1">
      <c r="A12">
        <v>2006</v>
      </c>
      <c r="B12" s="35">
        <v>13.0271</v>
      </c>
      <c r="C12" s="5">
        <v>0.029</v>
      </c>
      <c r="E12" s="5"/>
      <c r="F12" s="10">
        <v>9</v>
      </c>
      <c r="G12" s="57">
        <f>MIN('plafond sécu et CNAV'!$F12,'Grilles et calculs individuels'!C13*'données complémentaire'!$I12)*$I$1/$B13</f>
        <v>11.001287203683429</v>
      </c>
      <c r="H12" s="57">
        <f>MIN('plafond sécu et CNAV'!$F12,'Grilles et calculs individuels'!D13*'données complémentaire'!$I12)*$I$1/$B13</f>
        <v>12.122906793048973</v>
      </c>
      <c r="I12" s="57">
        <f>MIN('plafond sécu et CNAV'!$F12,'Grilles et calculs individuels'!E13*'données complémentaire'!$I12)*$I$1/$B13</f>
        <v>12.122906793048973</v>
      </c>
      <c r="J12" s="57">
        <f>MIN('plafond sécu et CNAV'!$F12,'Grilles et calculs individuels'!F13*'données complémentaire'!$I12)*$I$1/$B13</f>
        <v>12.122906793048973</v>
      </c>
      <c r="K12" s="57">
        <f>MIN('plafond sécu et CNAV'!$F12,'Grilles et calculs individuels'!G13*'données complémentaire'!$I12)*$I$1/$B13</f>
        <v>8.587425972990129</v>
      </c>
      <c r="L12" s="57">
        <f>MIN('plafond sécu et CNAV'!$F12,'Grilles et calculs individuels'!H13*'données complémentaire'!$I12)*$I$1/$B13</f>
        <v>8.587425972990129</v>
      </c>
      <c r="M12" s="57">
        <f>MIN('plafond sécu et CNAV'!$F12,'Grilles et calculs individuels'!I13*'données complémentaire'!$I12)*$I$1/$B13</f>
        <v>8.587425972990129</v>
      </c>
      <c r="N12" s="57">
        <f>MIN('plafond sécu et CNAV'!$F12,'Grilles et calculs individuels'!J13*'données complémentaire'!$I12)*$I$1/$B13</f>
        <v>12.122906793048973</v>
      </c>
    </row>
    <row r="13" spans="1:14" ht="12.75" customHeight="1">
      <c r="A13">
        <v>2005</v>
      </c>
      <c r="B13" s="35">
        <v>12.66</v>
      </c>
      <c r="C13" s="5">
        <v>0.024</v>
      </c>
      <c r="E13" s="5"/>
      <c r="F13" s="10">
        <v>10</v>
      </c>
      <c r="G13" s="57">
        <f>MIN('plafond sécu et CNAV'!$F13,'Grilles et calculs individuels'!C14*'données complémentaire'!$I13)*$I$1/$B14</f>
        <v>11.171078362977992</v>
      </c>
      <c r="H13" s="57">
        <f>MIN('plafond sécu et CNAV'!$F13,'Grilles et calculs individuels'!D14*'données complémentaire'!$I13)*$I$1/$B14</f>
        <v>12.2165782321729</v>
      </c>
      <c r="I13" s="57">
        <f>MIN('plafond sécu et CNAV'!$F13,'Grilles et calculs individuels'!E14*'données complémentaire'!$I13)*$I$1/$B14</f>
        <v>12.2165782321729</v>
      </c>
      <c r="J13" s="57">
        <f>MIN('plafond sécu et CNAV'!$F13,'Grilles et calculs individuels'!F14*'données complémentaire'!$I13)*$I$1/$B14</f>
        <v>12.2165782321729</v>
      </c>
      <c r="K13" s="57">
        <f>MIN('plafond sécu et CNAV'!$F13,'Grilles et calculs individuels'!G14*'données complémentaire'!$I13)*$I$1/$B14</f>
        <v>8.719962192099295</v>
      </c>
      <c r="L13" s="57">
        <f>MIN('plafond sécu et CNAV'!$F13,'Grilles et calculs individuels'!H14*'données complémentaire'!$I13)*$I$1/$B14</f>
        <v>8.719962192099295</v>
      </c>
      <c r="M13" s="57">
        <f>MIN('plafond sécu et CNAV'!$F13,'Grilles et calculs individuels'!I14*'données complémentaire'!$I13)*$I$1/$B14</f>
        <v>8.524704896884616</v>
      </c>
      <c r="N13" s="57">
        <f>MIN('plafond sécu et CNAV'!$F13,'Grilles et calculs individuels'!J14*'données complémentaire'!$I13)*$I$1/$B14</f>
        <v>12.2165782321729</v>
      </c>
    </row>
    <row r="14" spans="1:14" ht="12.75" customHeight="1">
      <c r="A14">
        <v>2004</v>
      </c>
      <c r="B14" s="35">
        <v>12.3632</v>
      </c>
      <c r="C14" s="5">
        <v>0.023</v>
      </c>
      <c r="E14" s="5"/>
      <c r="F14" s="10">
        <v>11</v>
      </c>
      <c r="G14" s="57">
        <f>MIN('plafond sécu et CNAV'!$F14,'Grilles et calculs individuels'!C15*'données complémentaire'!$I14)*$I$1/$B15</f>
        <v>10.841253555092232</v>
      </c>
      <c r="H14" s="57">
        <f>MIN('plafond sécu et CNAV'!$F14,'Grilles et calculs individuels'!D15*'données complémentaire'!$I14)*$I$1/$B15</f>
        <v>12.275510541819747</v>
      </c>
      <c r="I14" s="57">
        <f>MIN('plafond sécu et CNAV'!$F14,'Grilles et calculs individuels'!E15*'données complémentaire'!$I14)*$I$1/$B15</f>
        <v>12.275510541819747</v>
      </c>
      <c r="J14" s="57">
        <f>MIN('plafond sécu et CNAV'!$F14,'Grilles et calculs individuels'!F15*'données complémentaire'!$I14)*$I$1/$B15</f>
        <v>12.275510541819747</v>
      </c>
      <c r="K14" s="57">
        <f>MIN('plafond sécu et CNAV'!$F14,'Grilles et calculs individuels'!G15*'données complémentaire'!$I14)*$I$1/$B15</f>
        <v>8.876163988254774</v>
      </c>
      <c r="L14" s="57">
        <f>MIN('plafond sécu et CNAV'!$F14,'Grilles et calculs individuels'!H15*'données complémentaire'!$I14)*$I$1/$B15</f>
        <v>8.876163988254774</v>
      </c>
      <c r="M14" s="57">
        <f>MIN('plafond sécu et CNAV'!$F14,'Grilles et calculs individuels'!I15*'données complémentaire'!$I14)*$I$1/$B15</f>
        <v>8.677409024179486</v>
      </c>
      <c r="N14" s="57">
        <f>MIN('plafond sécu et CNAV'!$F14,'Grilles et calculs individuels'!J15*'données complémentaire'!$I14)*$I$1/$B15</f>
        <v>12.275510541819747</v>
      </c>
    </row>
    <row r="15" spans="1:14" ht="12.75" customHeight="1">
      <c r="A15">
        <v>2003</v>
      </c>
      <c r="B15" s="35">
        <v>12.0852</v>
      </c>
      <c r="C15" s="5">
        <v>0.016</v>
      </c>
      <c r="E15" s="5"/>
      <c r="F15" s="10">
        <v>12</v>
      </c>
      <c r="G15" s="57">
        <f>MIN('plafond sécu et CNAV'!$F15,'Grilles et calculs individuels'!C16*'données complémentaire'!$I15)*$I$1/$B16</f>
        <v>10.933639308973682</v>
      </c>
      <c r="H15" s="57">
        <f>MIN('plafond sécu et CNAV'!$F15,'Grilles et calculs individuels'!D16*'données complémentaire'!$I15)*$I$1/$B16</f>
        <v>12.061639862462064</v>
      </c>
      <c r="I15" s="57">
        <f>MIN('plafond sécu et CNAV'!$F15,'Grilles et calculs individuels'!E16*'données complémentaire'!$I15)*$I$1/$B16</f>
        <v>12.061639862462064</v>
      </c>
      <c r="J15" s="57">
        <f>MIN('plafond sécu et CNAV'!$F15,'Grilles et calculs individuels'!F16*'données complémentaire'!$I15)*$I$1/$B16</f>
        <v>12.061639862462064</v>
      </c>
      <c r="K15" s="57">
        <f>MIN('plafond sécu et CNAV'!$F15,'Grilles et calculs individuels'!G16*'données complémentaire'!$I15)*$I$1/$B16</f>
        <v>8.951803866748818</v>
      </c>
      <c r="L15" s="57">
        <f>MIN('plafond sécu et CNAV'!$F15,'Grilles et calculs individuels'!H16*'données complémentaire'!$I15)*$I$1/$B16</f>
        <v>8.951803866748818</v>
      </c>
      <c r="M15" s="57">
        <f>MIN('plafond sécu et CNAV'!$F15,'Grilles et calculs individuels'!I16*'données complémentaire'!$I15)*$I$1/$B16</f>
        <v>8.751355175366033</v>
      </c>
      <c r="N15" s="57">
        <f>MIN('plafond sécu et CNAV'!$F15,'Grilles et calculs individuels'!J16*'données complémentaire'!$I15)*$I$1/$B16</f>
        <v>12.061639862462064</v>
      </c>
    </row>
    <row r="16" spans="1:14" ht="12.75" customHeight="1">
      <c r="A16">
        <v>2002</v>
      </c>
      <c r="B16" s="35">
        <v>11.8949</v>
      </c>
      <c r="C16" s="5">
        <v>0.016</v>
      </c>
      <c r="E16" s="5"/>
      <c r="F16" s="6">
        <v>13</v>
      </c>
      <c r="G16" s="57">
        <f>MIN('plafond sécu et CNAV'!$F16,'Grilles et calculs individuels'!C17*'données complémentaire'!$I16)*$I$1/$B17</f>
        <v>10.964744424326895</v>
      </c>
      <c r="H16" s="57">
        <f>MIN('plafond sécu et CNAV'!$F16,'Grilles et calculs individuels'!D17*'données complémentaire'!$I16)*$I$1/$B17</f>
        <v>11.874890131711718</v>
      </c>
      <c r="I16" s="57">
        <f>MIN('plafond sécu et CNAV'!$F16,'Grilles et calculs individuels'!E17*'données complémentaire'!$I16)*$I$1/$B17</f>
        <v>11.874890131711718</v>
      </c>
      <c r="J16" s="57">
        <f>MIN('plafond sécu et CNAV'!$F16,'Grilles et calculs individuels'!F17*'données complémentaire'!$I16)*$I$1/$B17</f>
        <v>11.874890131711718</v>
      </c>
      <c r="K16" s="57">
        <f>MIN('plafond sécu et CNAV'!$F16,'Grilles et calculs individuels'!G17*'données complémentaire'!$I16)*$I$1/$B17</f>
        <v>8.97727085756733</v>
      </c>
      <c r="L16" s="57">
        <f>MIN('plafond sécu et CNAV'!$F16,'Grilles et calculs individuels'!H17*'données complémentaire'!$I16)*$I$1/$B17</f>
        <v>8.97727085756733</v>
      </c>
      <c r="M16" s="57">
        <f>MIN('plafond sécu et CNAV'!$F16,'Grilles et calculs individuels'!I17*'données complémentaire'!$I16)*$I$1/$B17</f>
        <v>8.776251909612904</v>
      </c>
      <c r="N16" s="57">
        <f>MIN('plafond sécu et CNAV'!$F16,'Grilles et calculs individuels'!J17*'données complémentaire'!$I16)*$I$1/$B17</f>
        <v>11.874890131711718</v>
      </c>
    </row>
    <row r="17" spans="1:14" ht="12.75" customHeight="1">
      <c r="A17">
        <v>2001</v>
      </c>
      <c r="B17" s="35">
        <v>11.7075509522728</v>
      </c>
      <c r="C17" s="5">
        <v>0.015</v>
      </c>
      <c r="E17" s="5"/>
      <c r="F17" s="6">
        <v>14</v>
      </c>
      <c r="G17" s="57">
        <f>MIN('plafond sécu et CNAV'!$F17,'Grilles et calculs individuels'!C18*'données complémentaire'!$I17)*$I$1/$B18</f>
        <v>10.970081789867463</v>
      </c>
      <c r="H17" s="57">
        <f>MIN('plafond sécu et CNAV'!$F17,'Grilles et calculs individuels'!D18*'données complémentaire'!$I17)*$I$1/$B18</f>
        <v>11.851454370512862</v>
      </c>
      <c r="I17" s="57">
        <f>MIN('plafond sécu et CNAV'!$F17,'Grilles et calculs individuels'!E18*'données complémentaire'!$I17)*$I$1/$B18</f>
        <v>11.851454370512862</v>
      </c>
      <c r="J17" s="57">
        <f>MIN('plafond sécu et CNAV'!$F17,'Grilles et calculs individuels'!F18*'données complémentaire'!$I17)*$I$1/$B18</f>
        <v>11.851454370512862</v>
      </c>
      <c r="K17" s="57">
        <f>MIN('plafond sécu et CNAV'!$F17,'Grilles et calculs individuels'!G18*'données complémentaire'!$I17)*$I$1/$B18</f>
        <v>8.981640770286612</v>
      </c>
      <c r="L17" s="57">
        <f>MIN('plafond sécu et CNAV'!$F17,'Grilles et calculs individuels'!H18*'données complémentaire'!$I17)*$I$1/$B18</f>
        <v>8.981640770286612</v>
      </c>
      <c r="M17" s="57">
        <f>MIN('plafond sécu et CNAV'!$F17,'Grilles et calculs individuels'!I18*'données complémentaire'!$I17)*$I$1/$B18</f>
        <v>8.49009162649593</v>
      </c>
      <c r="N17" s="57">
        <f>MIN('plafond sécu et CNAV'!$F17,'Grilles et calculs individuels'!J18*'données complémentaire'!$I17)*$I$1/$B18</f>
        <v>11.851454370512862</v>
      </c>
    </row>
    <row r="18" spans="1:14" ht="12.75" customHeight="1">
      <c r="A18">
        <v>2000</v>
      </c>
      <c r="B18" s="35">
        <v>11.5345365626101</v>
      </c>
      <c r="C18" s="5">
        <v>0.053</v>
      </c>
      <c r="E18" s="5"/>
      <c r="F18" s="6">
        <v>15</v>
      </c>
      <c r="G18" s="57">
        <f>MIN('plafond sécu et CNAV'!$F18,'Grilles et calculs individuels'!C19*'données complémentaire'!$I18)*$I$1/$B19</f>
        <v>10.970932641908359</v>
      </c>
      <c r="H18" s="57">
        <f>MIN('plafond sécu et CNAV'!$F18,'Grilles et calculs individuels'!D19*'données complémentaire'!$I18)*$I$1/$B19</f>
        <v>12.284317791503303</v>
      </c>
      <c r="I18" s="57">
        <f>MIN('plafond sécu et CNAV'!$F18,'Grilles et calculs individuels'!E19*'données complémentaire'!$I18)*$I$1/$B19</f>
        <v>12.284317791503303</v>
      </c>
      <c r="J18" s="57">
        <f>MIN('plafond sécu et CNAV'!$F18,'Grilles et calculs individuels'!F19*'données complémentaire'!$I18)*$I$1/$B19</f>
        <v>12.284317791503303</v>
      </c>
      <c r="K18" s="57">
        <f>MIN('plafond sécu et CNAV'!$F18,'Grilles et calculs individuels'!G19*'données complémentaire'!$I18)*$I$1/$B19</f>
        <v>9.423748535286613</v>
      </c>
      <c r="L18" s="57">
        <f>MIN('plafond sécu et CNAV'!$F18,'Grilles et calculs individuels'!H19*'données complémentaire'!$I18)*$I$1/$B19</f>
        <v>9.423748535286613</v>
      </c>
      <c r="M18" s="57">
        <f>MIN('plafond sécu et CNAV'!$F18,'Grilles et calculs individuels'!I19*'données complémentaire'!$I18)*$I$1/$B19</f>
        <v>8.908003623828636</v>
      </c>
      <c r="N18" s="57">
        <f>MIN('plafond sécu et CNAV'!$F18,'Grilles et calculs individuels'!J19*'données complémentaire'!$I18)*$I$1/$B19</f>
        <v>12.284317791503303</v>
      </c>
    </row>
    <row r="19" spans="1:14" ht="12.75" customHeight="1">
      <c r="A19">
        <v>1999</v>
      </c>
      <c r="B19" s="35">
        <v>10.9539802151665</v>
      </c>
      <c r="C19" s="5">
        <v>0.0688311688311681</v>
      </c>
      <c r="F19" s="6">
        <v>16</v>
      </c>
      <c r="G19" s="57">
        <f>MIN('plafond sécu et CNAV'!$F19,'Grilles et calculs individuels'!C20*'données complémentaire'!$I19)*$I$1/$B20</f>
        <v>11.589303438460693</v>
      </c>
      <c r="H19" s="57">
        <f>MIN('plafond sécu et CNAV'!$F19,'Grilles et calculs individuels'!D20*'données complémentaire'!$I19)*$I$1/$B20</f>
        <v>12.785055422550695</v>
      </c>
      <c r="I19" s="57">
        <f>MIN('plafond sécu et CNAV'!$F19,'Grilles et calculs individuels'!E20*'données complémentaire'!$I19)*$I$1/$B20</f>
        <v>12.785055422550695</v>
      </c>
      <c r="J19" s="57">
        <f>MIN('plafond sécu et CNAV'!$F19,'Grilles et calculs individuels'!F20*'données complémentaire'!$I19)*$I$1/$B20</f>
        <v>12.785055422550695</v>
      </c>
      <c r="K19" s="57">
        <f>MIN('plafond sécu et CNAV'!$F19,'Grilles et calculs individuels'!G20*'données complémentaire'!$I19)*$I$1/$B20</f>
        <v>9.732002818192564</v>
      </c>
      <c r="L19" s="57">
        <f>MIN('plafond sécu et CNAV'!$F19,'Grilles et calculs individuels'!H20*'données complémentaire'!$I19)*$I$1/$B20</f>
        <v>9.732002818192564</v>
      </c>
      <c r="M19" s="57">
        <f>MIN('plafond sécu et CNAV'!$F19,'Grilles et calculs individuels'!I20*'données complémentaire'!$I19)*$I$1/$B20</f>
        <v>9.410098520985876</v>
      </c>
      <c r="N19" s="57">
        <f>MIN('plafond sécu et CNAV'!$F19,'Grilles et calculs individuels'!J20*'données complémentaire'!$I19)*$I$1/$B20</f>
        <v>12.785055422550695</v>
      </c>
    </row>
    <row r="20" spans="1:14" ht="12.75" customHeight="1">
      <c r="A20">
        <v>1998</v>
      </c>
      <c r="B20" s="35">
        <f aca="true" t="shared" si="0" ref="B20:B46">B19/(1+C19)</f>
        <v>10.248559861091387</v>
      </c>
      <c r="C20" s="5">
        <v>0.0377358490566023</v>
      </c>
      <c r="F20" s="6">
        <v>17</v>
      </c>
      <c r="G20" s="57">
        <f>MIN('plafond sécu et CNAV'!$F20,'Grilles et calculs individuels'!C21*'données complémentaire'!$I20)*$I$1/$B21</f>
        <v>11.905251074968564</v>
      </c>
      <c r="H20" s="57">
        <f>MIN('plafond sécu et CNAV'!$F20,'Grilles et calculs individuels'!D21*'données complémentaire'!$I20)*$I$1/$B21</f>
        <v>12.919108724047218</v>
      </c>
      <c r="I20" s="57">
        <f>MIN('plafond sécu et CNAV'!$F20,'Grilles et calculs individuels'!E21*'données complémentaire'!$I20)*$I$1/$B21</f>
        <v>12.919108724047218</v>
      </c>
      <c r="J20" s="57">
        <f>MIN('plafond sécu et CNAV'!$F20,'Grilles et calculs individuels'!F21*'données complémentaire'!$I20)*$I$1/$B21</f>
        <v>12.919108724047218</v>
      </c>
      <c r="K20" s="57">
        <f>MIN('plafond sécu et CNAV'!$F20,'Grilles et calculs individuels'!G21*'données complémentaire'!$I20)*$I$1/$B21</f>
        <v>9.997316717791719</v>
      </c>
      <c r="L20" s="57">
        <f>MIN('plafond sécu et CNAV'!$F20,'Grilles et calculs individuels'!H21*'données complémentaire'!$I20)*$I$1/$B21</f>
        <v>9.997316717791719</v>
      </c>
      <c r="M20" s="57">
        <f>MIN('plafond sécu et CNAV'!$F20,'Grilles et calculs individuels'!I21*'données complémentaire'!$I20)*$I$1/$B21</f>
        <v>9.666636664352206</v>
      </c>
      <c r="N20" s="57">
        <f>MIN('plafond sécu et CNAV'!$F20,'Grilles et calculs individuels'!J21*'données complémentaire'!$I20)*$I$1/$B21</f>
        <v>12.919108724047218</v>
      </c>
    </row>
    <row r="21" spans="1:14" ht="12.75" customHeight="1">
      <c r="A21">
        <v>1997</v>
      </c>
      <c r="B21" s="35">
        <f t="shared" si="0"/>
        <v>9.875884957051715</v>
      </c>
      <c r="C21" s="5">
        <v>0.0519848771266568</v>
      </c>
      <c r="F21" s="6">
        <v>18</v>
      </c>
      <c r="G21" s="57">
        <f>MIN('plafond sécu et CNAV'!$F21,'Grilles et calculs individuels'!C22*'données complémentaire'!$I21)*$I$1/$B22</f>
        <v>12.456660249690257</v>
      </c>
      <c r="H21" s="57">
        <f>MIN('plafond sécu et CNAV'!$F21,'Grilles et calculs individuels'!D22*'données complémentaire'!$I21)*$I$1/$B22</f>
        <v>13.30740154438909</v>
      </c>
      <c r="I21" s="57">
        <f>MIN('plafond sécu et CNAV'!$F21,'Grilles et calculs individuels'!E22*'données complémentaire'!$I21)*$I$1/$B22</f>
        <v>13.30740154438909</v>
      </c>
      <c r="J21" s="57">
        <f>MIN('plafond sécu et CNAV'!$F21,'Grilles et calculs individuels'!F22*'données complémentaire'!$I21)*$I$1/$B22</f>
        <v>13.30740154438909</v>
      </c>
      <c r="K21" s="57">
        <f>MIN('plafond sécu et CNAV'!$F21,'Grilles et calculs individuels'!G22*'données complémentaire'!$I21)*$I$1/$B22</f>
        <v>10.460357112830465</v>
      </c>
      <c r="L21" s="57">
        <f>MIN('plafond sécu et CNAV'!$F21,'Grilles et calculs individuels'!H22*'données complémentaire'!$I21)*$I$1/$B22</f>
        <v>10.460357112830465</v>
      </c>
      <c r="M21" s="57">
        <f>MIN('plafond sécu et CNAV'!$F21,'Grilles et calculs individuels'!I22*'données complémentaire'!$I21)*$I$1/$B22</f>
        <v>9.8748254452408</v>
      </c>
      <c r="N21" s="57">
        <f>MIN('plafond sécu et CNAV'!$F21,'Grilles et calculs individuels'!J22*'données complémentaire'!$I21)*$I$1/$B22</f>
        <v>13.30740154438909</v>
      </c>
    </row>
    <row r="22" spans="1:14" ht="12.75" customHeight="1">
      <c r="A22">
        <v>1996</v>
      </c>
      <c r="B22" s="35">
        <f t="shared" si="0"/>
        <v>9.387858296999719</v>
      </c>
      <c r="C22" s="5">
        <v>0.05641537693459701</v>
      </c>
      <c r="F22" s="6">
        <v>19</v>
      </c>
      <c r="G22" s="57">
        <f>MIN('plafond sécu et CNAV'!$F22,'Grilles et calculs individuels'!C23*'données complémentaire'!$I22)*$I$1/$B23</f>
        <v>12.368741667005194</v>
      </c>
      <c r="H22" s="57">
        <f>MIN('plafond sécu et CNAV'!$F22,'Grilles et calculs individuels'!D23*'données complémentaire'!$I22)*$I$1/$B23</f>
        <v>13.59823364664038</v>
      </c>
      <c r="I22" s="57">
        <f>MIN('plafond sécu et CNAV'!$F22,'Grilles et calculs individuels'!E23*'données complémentaire'!$I22)*$I$1/$B23</f>
        <v>13.59823364664038</v>
      </c>
      <c r="J22" s="57">
        <f>MIN('plafond sécu et CNAV'!$F22,'Grilles et calculs individuels'!F23*'données complémentaire'!$I22)*$I$1/$B23</f>
        <v>13.59823364664038</v>
      </c>
      <c r="K22" s="57">
        <f>MIN('plafond sécu et CNAV'!$F22,'Grilles et calculs individuels'!G23*'données complémentaire'!$I22)*$I$1/$B23</f>
        <v>10.923376694483494</v>
      </c>
      <c r="L22" s="57">
        <f>MIN('plafond sécu et CNAV'!$F22,'Grilles et calculs individuels'!H23*'données complémentaire'!$I22)*$I$1/$B23</f>
        <v>10.923376694483494</v>
      </c>
      <c r="M22" s="57">
        <f>MIN('plafond sécu et CNAV'!$F22,'Grilles et calculs individuels'!I23*'données complémentaire'!$I22)*$I$1/$B23</f>
        <v>10.31192692248806</v>
      </c>
      <c r="N22" s="57">
        <f>MIN('plafond sécu et CNAV'!$F22,'Grilles et calculs individuels'!J23*'données complémentaire'!$I22)*$I$1/$B23</f>
        <v>13.59823364664038</v>
      </c>
    </row>
    <row r="23" spans="1:14" ht="12.75" customHeight="1">
      <c r="A23">
        <v>1995</v>
      </c>
      <c r="B23" s="35">
        <f t="shared" si="0"/>
        <v>8.88652181894634</v>
      </c>
      <c r="C23" s="5">
        <v>0.026127049180328002</v>
      </c>
      <c r="F23" s="6">
        <v>20</v>
      </c>
      <c r="G23" s="57">
        <f>MIN('plafond sécu et CNAV'!$F23,'Grilles et calculs individuels'!C24*'données complémentaire'!$I23)*$I$1/$B24</f>
        <v>12.35186647405275</v>
      </c>
      <c r="H23" s="57">
        <f>MIN('plafond sécu et CNAV'!$F23,'Grilles et calculs individuels'!D24*'données complémentaire'!$I23)*$I$1/$B24</f>
        <v>13.69994315328594</v>
      </c>
      <c r="I23" s="57">
        <f>MIN('plafond sécu et CNAV'!$F23,'Grilles et calculs individuels'!E24*'données complémentaire'!$I23)*$I$1/$B24</f>
        <v>13.69994315328594</v>
      </c>
      <c r="J23" s="57">
        <f>MIN('plafond sécu et CNAV'!$F23,'Grilles et calculs individuels'!F24*'données complémentaire'!$I23)*$I$1/$B24</f>
        <v>13.69994315328594</v>
      </c>
      <c r="K23" s="57">
        <f>MIN('plafond sécu et CNAV'!$F23,'Grilles et calculs individuels'!G24*'données complémentaire'!$I23)*$I$1/$B24</f>
        <v>10.547655196731128</v>
      </c>
      <c r="L23" s="57">
        <f>MIN('plafond sécu et CNAV'!$F23,'Grilles et calculs individuels'!H24*'données complémentaire'!$I23)*$I$1/$B24</f>
        <v>10.547655196731128</v>
      </c>
      <c r="M23" s="57">
        <f>MIN('plafond sécu et CNAV'!$F23,'Grilles et calculs individuels'!I24*'données complémentaire'!$I23)*$I$1/$B24</f>
        <v>10.297857928146245</v>
      </c>
      <c r="N23" s="57">
        <f>MIN('plafond sécu et CNAV'!$F23,'Grilles et calculs individuels'!J24*'données complémentaire'!$I23)*$I$1/$B24</f>
        <v>13.69994315328594</v>
      </c>
    </row>
    <row r="24" spans="1:14" ht="12.75" customHeight="1">
      <c r="A24">
        <v>1994</v>
      </c>
      <c r="B24" s="35">
        <f t="shared" si="0"/>
        <v>8.660254912922243</v>
      </c>
      <c r="C24" s="5">
        <v>0.012448132780083599</v>
      </c>
      <c r="F24" s="6">
        <v>21</v>
      </c>
      <c r="G24" s="57">
        <f>MIN('plafond sécu et CNAV'!$F24,'Grilles et calculs individuels'!C25*'données complémentaire'!$I24)*$I$1/$B25</f>
        <v>12.364088167847566</v>
      </c>
      <c r="H24" s="57">
        <f>MIN('plafond sécu et CNAV'!$F24,'Grilles et calculs individuels'!D25*'données complémentaire'!$I24)*$I$1/$B25</f>
        <v>13.578096385840855</v>
      </c>
      <c r="I24" s="57">
        <f>MIN('plafond sécu et CNAV'!$F24,'Grilles et calculs individuels'!E25*'données complémentaire'!$I24)*$I$1/$B25</f>
        <v>13.578096385840855</v>
      </c>
      <c r="J24" s="57">
        <f>MIN('plafond sécu et CNAV'!$F24,'Grilles et calculs individuels'!F25*'données complémentaire'!$I24)*$I$1/$B25</f>
        <v>13.578096385840855</v>
      </c>
      <c r="K24" s="57">
        <f>MIN('plafond sécu et CNAV'!$F24,'Grilles et calculs individuels'!G25*'données complémentaire'!$I24)*$I$1/$B25</f>
        <v>10.558091693299362</v>
      </c>
      <c r="L24" s="57">
        <f>MIN('plafond sécu et CNAV'!$F24,'Grilles et calculs individuels'!H25*'données complémentaire'!$I24)*$I$1/$B25</f>
        <v>10.558091693299362</v>
      </c>
      <c r="M24" s="57">
        <f>MIN('plafond sécu et CNAV'!$F24,'Grilles et calculs individuels'!I25*'données complémentaire'!$I24)*$I$1/$B25</f>
        <v>9.863463817120008</v>
      </c>
      <c r="N24" s="57">
        <f>MIN('plafond sécu et CNAV'!$F24,'Grilles et calculs individuels'!J25*'données complémentaire'!$I24)*$I$1/$B25</f>
        <v>13.578096385840855</v>
      </c>
    </row>
    <row r="25" spans="1:14" ht="12.75" customHeight="1">
      <c r="A25">
        <v>1993</v>
      </c>
      <c r="B25" s="35">
        <f t="shared" si="0"/>
        <v>8.5537763689109</v>
      </c>
      <c r="C25" s="5">
        <v>0.00260010400415987</v>
      </c>
      <c r="F25" s="6">
        <v>22</v>
      </c>
      <c r="G25" s="57">
        <f>MIN('plafond sécu et CNAV'!$F25,'Grilles et calculs individuels'!C26*'données complémentaire'!$I25)*$I$1/$B26</f>
        <v>12.067247912526955</v>
      </c>
      <c r="H25" s="57">
        <f>MIN('plafond sécu et CNAV'!$F25,'Grilles et calculs individuels'!D26*'données complémentaire'!$I25)*$I$1/$B26</f>
        <v>13.091458484153303</v>
      </c>
      <c r="I25" s="57">
        <f>MIN('plafond sécu et CNAV'!$F25,'Grilles et calculs individuels'!E26*'données complémentaire'!$I25)*$I$1/$B26</f>
        <v>13.091458484153303</v>
      </c>
      <c r="J25" s="57">
        <f>MIN('plafond sécu et CNAV'!$F25,'Grilles et calculs individuels'!F26*'données complémentaire'!$I25)*$I$1/$B26</f>
        <v>13.091458484153303</v>
      </c>
      <c r="K25" s="57">
        <f>MIN('plafond sécu et CNAV'!$F25,'Grilles et calculs individuels'!G26*'données complémentaire'!$I25)*$I$1/$B26</f>
        <v>10.304610272640502</v>
      </c>
      <c r="L25" s="57">
        <f>MIN('plafond sécu et CNAV'!$F25,'Grilles et calculs individuels'!H26*'données complémentaire'!$I25)*$I$1/$B26</f>
        <v>10.304610272640502</v>
      </c>
      <c r="M25" s="57">
        <f>MIN('plafond sécu et CNAV'!$F25,'Grilles et calculs individuels'!I26*'données complémentaire'!$I25)*$I$1/$B26</f>
        <v>9.626659203785614</v>
      </c>
      <c r="N25" s="57">
        <f>MIN('plafond sécu et CNAV'!$F25,'Grilles et calculs individuels'!J26*'données complémentaire'!$I25)*$I$1/$B26</f>
        <v>13.091458484153303</v>
      </c>
    </row>
    <row r="26" spans="1:14" ht="12.75" customHeight="1">
      <c r="A26">
        <v>1992</v>
      </c>
      <c r="B26" s="35">
        <f t="shared" si="0"/>
        <v>8.53159333890854</v>
      </c>
      <c r="C26" s="5">
        <v>0.0228723404255297</v>
      </c>
      <c r="F26" s="6">
        <v>23</v>
      </c>
      <c r="G26" s="57">
        <f>MIN('plafond sécu et CNAV'!$F26,'Grilles et calculs individuels'!C27*'données complémentaire'!$I26)*$I$1/$B27</f>
        <v>11.48356163946137</v>
      </c>
      <c r="H26" s="57">
        <f>MIN('plafond sécu et CNAV'!$F26,'Grilles et calculs individuels'!D27*'données complémentaire'!$I26)*$I$1/$B27</f>
        <v>12.805816359640074</v>
      </c>
      <c r="I26" s="57">
        <f>MIN('plafond sécu et CNAV'!$F26,'Grilles et calculs individuels'!E27*'données complémentaire'!$I26)*$I$1/$B27</f>
        <v>12.805816359640074</v>
      </c>
      <c r="J26" s="57">
        <f>MIN('plafond sécu et CNAV'!$F26,'Grilles et calculs individuels'!F27*'données complémentaire'!$I26)*$I$1/$B27</f>
        <v>12.805816359640074</v>
      </c>
      <c r="K26" s="57">
        <f>MIN('plafond sécu et CNAV'!$F26,'Grilles et calculs individuels'!G27*'données complémentaire'!$I26)*$I$1/$B27</f>
        <v>10.26767090318399</v>
      </c>
      <c r="L26" s="57">
        <f>MIN('plafond sécu et CNAV'!$F26,'Grilles et calculs individuels'!H27*'données complémentaire'!$I26)*$I$1/$B27</f>
        <v>10.26767090318399</v>
      </c>
      <c r="M26" s="57">
        <f>MIN('plafond sécu et CNAV'!$F26,'Grilles et calculs individuels'!I27*'données complémentaire'!$I26)*$I$1/$B27</f>
        <v>9.59215011401395</v>
      </c>
      <c r="N26" s="57">
        <f>MIN('plafond sécu et CNAV'!$F26,'Grilles et calculs individuels'!J27*'données complémentaire'!$I26)*$I$1/$B27</f>
        <v>12.805816359640074</v>
      </c>
    </row>
    <row r="27" spans="1:14" ht="12.75" customHeight="1">
      <c r="A27">
        <v>1991</v>
      </c>
      <c r="B27" s="35">
        <f t="shared" si="0"/>
        <v>8.34081928088824</v>
      </c>
      <c r="C27" s="5">
        <v>0.032399780340475005</v>
      </c>
      <c r="F27" s="6">
        <v>24</v>
      </c>
      <c r="G27" s="57">
        <f>MIN('plafond sécu et CNAV'!$F27,'Grilles et calculs individuels'!C28*'données complémentaire'!$I27)*$I$1/$B28</f>
        <v>11.640308877800125</v>
      </c>
      <c r="H27" s="57">
        <f>MIN('plafond sécu et CNAV'!$F27,'Grilles et calculs individuels'!D28*'données complémentaire'!$I27)*$I$1/$B28</f>
        <v>12.571388991791455</v>
      </c>
      <c r="I27" s="57">
        <f>MIN('plafond sécu et CNAV'!$F27,'Grilles et calculs individuels'!E28*'données complémentaire'!$I27)*$I$1/$B28</f>
        <v>12.571388991791455</v>
      </c>
      <c r="J27" s="57">
        <f>MIN('plafond sécu et CNAV'!$F27,'Grilles et calculs individuels'!F28*'données complémentaire'!$I27)*$I$1/$B28</f>
        <v>12.571388991791455</v>
      </c>
      <c r="K27" s="57">
        <f>MIN('plafond sécu et CNAV'!$F27,'Grilles et calculs individuels'!G28*'données complémentaire'!$I27)*$I$1/$B28</f>
        <v>10.161335963574913</v>
      </c>
      <c r="L27" s="57">
        <f>MIN('plafond sécu et CNAV'!$F27,'Grilles et calculs individuels'!H28*'données complémentaire'!$I27)*$I$1/$B28</f>
        <v>10.161335963574913</v>
      </c>
      <c r="M27" s="57">
        <f>MIN('plafond sécu et CNAV'!$F27,'Grilles et calculs individuels'!I28*'données complémentaire'!$I27)*$I$1/$B28</f>
        <v>9.339658054863865</v>
      </c>
      <c r="N27" s="57">
        <f>MIN('plafond sécu et CNAV'!$F27,'Grilles et calculs individuels'!J28*'données complémentaire'!$I27)*$I$1/$B28</f>
        <v>12.571388991791455</v>
      </c>
    </row>
    <row r="28" spans="1:14" ht="12.75" customHeight="1">
      <c r="A28">
        <v>1990</v>
      </c>
      <c r="B28" s="35">
        <f t="shared" si="0"/>
        <v>8.079059526860343</v>
      </c>
      <c r="C28" s="5">
        <v>0.0459506031016665</v>
      </c>
      <c r="F28" s="6">
        <v>25</v>
      </c>
      <c r="G28" s="57">
        <f>MIN('plafond sécu et CNAV'!$F28,'Grilles et calculs individuels'!C29*'données complémentaire'!$I28)*$I$1/$B29</f>
        <v>11.880499872033138</v>
      </c>
      <c r="H28" s="57">
        <f>MIN('plafond sécu et CNAV'!$F28,'Grilles et calculs individuels'!D29*'données complémentaire'!$I28)*$I$1/$B29</f>
        <v>12.572546919688623</v>
      </c>
      <c r="I28" s="57">
        <f>MIN('plafond sécu et CNAV'!$F28,'Grilles et calculs individuels'!E29*'données complémentaire'!$I28)*$I$1/$B29</f>
        <v>12.572546919688623</v>
      </c>
      <c r="J28" s="57">
        <f>MIN('plafond sécu et CNAV'!$F28,'Grilles et calculs individuels'!F29*'données complémentaire'!$I28)*$I$1/$B29</f>
        <v>12.572546919688623</v>
      </c>
      <c r="K28" s="57">
        <f>MIN('plafond sécu et CNAV'!$F28,'Grilles et calculs individuels'!G29*'données complémentaire'!$I28)*$I$1/$B29</f>
        <v>10.371009213095075</v>
      </c>
      <c r="L28" s="57">
        <f>MIN('plafond sécu et CNAV'!$F28,'Grilles et calculs individuels'!H29*'données complémentaire'!$I28)*$I$1/$B29</f>
        <v>10.371009213095075</v>
      </c>
      <c r="M28" s="57">
        <f>MIN('plafond sécu et CNAV'!$F28,'Grilles et calculs individuels'!I29*'données complémentaire'!$I28)*$I$1/$B29</f>
        <v>9.532376459293186</v>
      </c>
      <c r="N28" s="57">
        <f>MIN('plafond sécu et CNAV'!$F28,'Grilles et calculs individuels'!J29*'données complémentaire'!$I28)*$I$1/$B29</f>
        <v>12.572546919688623</v>
      </c>
    </row>
    <row r="29" spans="1:14" ht="12.75" customHeight="1">
      <c r="A29">
        <v>1989</v>
      </c>
      <c r="B29" s="35">
        <f t="shared" si="0"/>
        <v>7.72413104682254</v>
      </c>
      <c r="C29" s="5">
        <v>0.0437649880095886</v>
      </c>
      <c r="F29" s="6">
        <v>26</v>
      </c>
      <c r="G29" s="57">
        <f>MIN('plafond sécu et CNAV'!$F29,'Grilles et calculs individuels'!C30*'données complémentaire'!$I29)*$I$1/$B30</f>
        <v>11.57723768531962</v>
      </c>
      <c r="H29" s="57">
        <f>MIN('plafond sécu et CNAV'!$F29,'Grilles et calculs individuels'!D30*'données complémentaire'!$I29)*$I$1/$B30</f>
        <v>12.603478122851547</v>
      </c>
      <c r="I29" s="57">
        <f>MIN('plafond sécu et CNAV'!$F29,'Grilles et calculs individuels'!E30*'données complémentaire'!$I29)*$I$1/$B30</f>
        <v>12.603478122851547</v>
      </c>
      <c r="J29" s="57">
        <f>MIN('plafond sécu et CNAV'!$F29,'Grilles et calculs individuels'!F30*'données complémentaire'!$I29)*$I$1/$B30</f>
        <v>12.603478122851547</v>
      </c>
      <c r="K29" s="57">
        <f>MIN('plafond sécu et CNAV'!$F29,'Grilles et calculs individuels'!G30*'données complémentaire'!$I29)*$I$1/$B30</f>
        <v>10.60532189250052</v>
      </c>
      <c r="L29" s="57">
        <f>MIN('plafond sécu et CNAV'!$F29,'Grilles et calculs individuels'!H30*'données complémentaire'!$I29)*$I$1/$B30</f>
        <v>10.60532189250052</v>
      </c>
      <c r="M29" s="57">
        <f>MIN('plafond sécu et CNAV'!$F29,'Grilles et calculs individuels'!I30*'données complémentaire'!$I29)*$I$1/$B30</f>
        <v>9.547654271171883</v>
      </c>
      <c r="N29" s="57">
        <f>MIN('plafond sécu et CNAV'!$F29,'Grilles et calculs individuels'!J30*'données complémentaire'!$I29)*$I$1/$B30</f>
        <v>12.603478122851547</v>
      </c>
    </row>
    <row r="30" spans="1:14" ht="12.75" customHeight="1">
      <c r="A30">
        <v>1988</v>
      </c>
      <c r="B30" s="35">
        <f t="shared" si="0"/>
        <v>7.400258808788078</v>
      </c>
      <c r="C30" s="5">
        <v>0.0411985018726629</v>
      </c>
      <c r="F30" s="6">
        <v>27</v>
      </c>
      <c r="G30" s="57">
        <f>MIN('plafond sécu et CNAV'!$F30,'Grilles et calculs individuels'!C31*'données complémentaire'!$I30)*$I$1/$B31</f>
        <v>11.816100837200237</v>
      </c>
      <c r="H30" s="57">
        <f>MIN('plafond sécu et CNAV'!$F30,'Grilles et calculs individuels'!D31*'données complémentaire'!$I30)*$I$1/$B31</f>
        <v>12.736507684243625</v>
      </c>
      <c r="I30" s="57">
        <f>MIN('plafond sécu et CNAV'!$F30,'Grilles et calculs individuels'!E31*'données complémentaire'!$I30)*$I$1/$B31</f>
        <v>12.736507684243625</v>
      </c>
      <c r="J30" s="57">
        <f>MIN('plafond sécu et CNAV'!$F30,'Grilles et calculs individuels'!F31*'données complémentaire'!$I30)*$I$1/$B31</f>
        <v>12.736507684243625</v>
      </c>
      <c r="K30" s="57">
        <f>MIN('plafond sécu et CNAV'!$F30,'Grilles et calculs individuels'!G31*'données complémentaire'!$I30)*$I$1/$B31</f>
        <v>10.357290284144623</v>
      </c>
      <c r="L30" s="57">
        <f>MIN('plafond sécu et CNAV'!$F30,'Grilles et calculs individuels'!H31*'données complémentaire'!$I30)*$I$1/$B31</f>
        <v>10.357290284144623</v>
      </c>
      <c r="M30" s="57">
        <f>MIN('plafond sécu et CNAV'!$F30,'Grilles et calculs individuels'!I31*'données complémentaire'!$I30)*$I$1/$B31</f>
        <v>9.744642780371311</v>
      </c>
      <c r="N30" s="57">
        <f>MIN('plafond sécu et CNAV'!$F30,'Grilles et calculs individuels'!J31*'données complémentaire'!$I30)*$I$1/$B31</f>
        <v>12.736507684243625</v>
      </c>
    </row>
    <row r="31" spans="1:14" ht="12.75" customHeight="1">
      <c r="A31">
        <v>1987</v>
      </c>
      <c r="B31" s="35">
        <f t="shared" si="0"/>
        <v>7.1074428127568705</v>
      </c>
      <c r="C31" s="5">
        <v>0.026923076923076</v>
      </c>
      <c r="F31" s="6">
        <v>28</v>
      </c>
      <c r="G31" s="57">
        <f>MIN('plafond sécu et CNAV'!$F31,'Grilles et calculs individuels'!C32*'données complémentaire'!$I31)*$I$1/$B32</f>
        <v>11.984306784758266</v>
      </c>
      <c r="H31" s="57">
        <f>MIN('plafond sécu et CNAV'!$F31,'Grilles et calculs individuels'!D32*'données complémentaire'!$I31)*$I$1/$B32</f>
        <v>12.559410017526924</v>
      </c>
      <c r="I31" s="57">
        <f>MIN('plafond sécu et CNAV'!$F31,'Grilles et calculs individuels'!E32*'données complémentaire'!$I31)*$I$1/$B32</f>
        <v>12.559410017526924</v>
      </c>
      <c r="J31" s="57">
        <f>MIN('plafond sécu et CNAV'!$F31,'Grilles et calculs individuels'!F32*'données complémentaire'!$I31)*$I$1/$B32</f>
        <v>12.559410017526924</v>
      </c>
      <c r="K31" s="57">
        <f>MIN('plafond sécu et CNAV'!$F31,'Grilles et calculs individuels'!G32*'données complémentaire'!$I31)*$I$1/$B32</f>
        <v>10.50472960024231</v>
      </c>
      <c r="L31" s="57">
        <f>MIN('plafond sécu et CNAV'!$F31,'Grilles et calculs individuels'!H32*'données complémentaire'!$I31)*$I$1/$B32</f>
        <v>10.50472960024231</v>
      </c>
      <c r="M31" s="57">
        <f>MIN('plafond sécu et CNAV'!$F31,'Grilles et calculs individuels'!I32*'données complémentaire'!$I31)*$I$1/$B32</f>
        <v>9.676237952865632</v>
      </c>
      <c r="N31" s="57">
        <f>MIN('plafond sécu et CNAV'!$F31,'Grilles et calculs individuels'!J32*'données complémentaire'!$I31)*$I$1/$B32</f>
        <v>12.559410017526924</v>
      </c>
    </row>
    <row r="32" spans="1:14" ht="12.75" customHeight="1">
      <c r="A32">
        <v>1986</v>
      </c>
      <c r="B32" s="35">
        <f t="shared" si="0"/>
        <v>6.921105360737034</v>
      </c>
      <c r="C32" s="5">
        <v>0.0526315789473683</v>
      </c>
      <c r="F32" s="6">
        <v>29</v>
      </c>
      <c r="G32" s="57">
        <f>MIN('plafond sécu et CNAV'!$F32,'Grilles et calculs individuels'!C33*'données complémentaire'!$I32)*$I$1/$B33</f>
        <v>11.901035642411355</v>
      </c>
      <c r="H32" s="57">
        <f>MIN('plafond sécu et CNAV'!$F32,'Grilles et calculs individuels'!D33*'données complémentaire'!$I32)*$I$1/$B33</f>
        <v>12.552451895633556</v>
      </c>
      <c r="I32" s="57">
        <f>MIN('plafond sécu et CNAV'!$F32,'Grilles et calculs individuels'!E33*'données complémentaire'!$I32)*$I$1/$B33</f>
        <v>12.552451895633556</v>
      </c>
      <c r="J32" s="57">
        <f>MIN('plafond sécu et CNAV'!$F32,'Grilles et calculs individuels'!F33*'données complémentaire'!$I32)*$I$1/$B33</f>
        <v>12.552451895633556</v>
      </c>
      <c r="K32" s="57">
        <f>MIN('plafond sécu et CNAV'!$F32,'Grilles et calculs individuels'!G33*'données complémentaire'!$I32)*$I$1/$B33</f>
        <v>10.832993137270071</v>
      </c>
      <c r="L32" s="57">
        <f>MIN('plafond sécu et CNAV'!$F32,'Grilles et calculs individuels'!H33*'données complémentaire'!$I32)*$I$1/$B33</f>
        <v>10.832993137270071</v>
      </c>
      <c r="M32" s="57">
        <f>MIN('plafond sécu et CNAV'!$F32,'Grilles et calculs individuels'!I33*'données complémentaire'!$I32)*$I$1/$B33</f>
        <v>9.978611856469648</v>
      </c>
      <c r="N32" s="57">
        <f>MIN('plafond sécu et CNAV'!$F32,'Grilles et calculs individuels'!J33*'données complémentaire'!$I32)*$I$1/$B33</f>
        <v>12.552451895633556</v>
      </c>
    </row>
    <row r="33" spans="1:14" ht="12.75" customHeight="1">
      <c r="A33">
        <v>1985</v>
      </c>
      <c r="B33" s="35">
        <f t="shared" si="0"/>
        <v>6.575050092700183</v>
      </c>
      <c r="C33" s="5">
        <v>0.0677233429394784</v>
      </c>
      <c r="F33" s="6">
        <v>30</v>
      </c>
      <c r="G33" s="57">
        <f>MIN('plafond sécu et CNAV'!$F33,'Grilles et calculs individuels'!C34*'données complémentaire'!$I33)*$I$1/$B34</f>
        <v>12.181224753068626</v>
      </c>
      <c r="H33" s="57">
        <f>MIN('plafond sécu et CNAV'!$F33,'Grilles et calculs individuels'!D34*'données complémentaire'!$I33)*$I$1/$B34</f>
        <v>12.530835597647789</v>
      </c>
      <c r="I33" s="57">
        <f>MIN('plafond sécu et CNAV'!$F33,'Grilles et calculs individuels'!E34*'données complémentaire'!$I33)*$I$1/$B34</f>
        <v>12.530835597647789</v>
      </c>
      <c r="J33" s="57">
        <f>MIN('plafond sécu et CNAV'!$F33,'Grilles et calculs individuels'!F34*'données complémentaire'!$I33)*$I$1/$B34</f>
        <v>12.530835597647789</v>
      </c>
      <c r="K33" s="57">
        <f>MIN('plafond sécu et CNAV'!$F33,'Grilles et calculs individuels'!G34*'données complémentaire'!$I33)*$I$1/$B34</f>
        <v>10.650788953080694</v>
      </c>
      <c r="L33" s="57">
        <f>MIN('plafond sécu et CNAV'!$F33,'Grilles et calculs individuels'!H34*'données complémentaire'!$I33)*$I$1/$B34</f>
        <v>10.650788953080694</v>
      </c>
      <c r="M33" s="57">
        <f>MIN('plafond sécu et CNAV'!$F33,'Grilles et calculs individuels'!I34*'données complémentaire'!$I33)*$I$1/$B34</f>
        <v>10.15100938493407</v>
      </c>
      <c r="N33" s="57">
        <f>MIN('plafond sécu et CNAV'!$F33,'Grilles et calculs individuels'!J34*'données complémentaire'!$I33)*$I$1/$B34</f>
        <v>12.530835597647789</v>
      </c>
    </row>
    <row r="34" spans="1:14" ht="12.75" customHeight="1">
      <c r="A34">
        <v>1984</v>
      </c>
      <c r="B34" s="35">
        <f t="shared" si="0"/>
        <v>6.158009128655788</v>
      </c>
      <c r="C34" s="5">
        <v>0.061973986228007004</v>
      </c>
      <c r="F34" s="6">
        <v>31</v>
      </c>
      <c r="G34" s="57">
        <f>MIN('plafond sécu et CNAV'!$F34,'Grilles et calculs individuels'!C35*'données complémentaire'!$I34)*$I$1/$B35</f>
        <v>11.412958932274568</v>
      </c>
      <c r="H34" s="57">
        <f>MIN('plafond sécu et CNAV'!$F34,'Grilles et calculs individuels'!D35*'données complémentaire'!$I34)*$I$1/$B35</f>
        <v>12.255451356852284</v>
      </c>
      <c r="I34" s="57">
        <f>MIN('plafond sécu et CNAV'!$F34,'Grilles et calculs individuels'!E35*'données complémentaire'!$I34)*$I$1/$B35</f>
        <v>12.255451356852284</v>
      </c>
      <c r="J34" s="57">
        <f>MIN('plafond sécu et CNAV'!$F34,'Grilles et calculs individuels'!F35*'données complémentaire'!$I34)*$I$1/$B35</f>
        <v>12.255451356852284</v>
      </c>
      <c r="K34" s="57">
        <f>MIN('plafond sécu et CNAV'!$F34,'Grilles et calculs individuels'!G35*'données complémentaire'!$I34)*$I$1/$B35</f>
        <v>10.378183813803753</v>
      </c>
      <c r="L34" s="57">
        <f>MIN('plafond sécu et CNAV'!$F34,'Grilles et calculs individuels'!H35*'données complémentaire'!$I34)*$I$1/$B35</f>
        <v>10.378183813803753</v>
      </c>
      <c r="M34" s="57">
        <f>MIN('plafond sécu et CNAV'!$F34,'Grilles et calculs individuels'!I35*'données complémentaire'!$I34)*$I$1/$B35</f>
        <v>9.891196019053687</v>
      </c>
      <c r="N34" s="57">
        <f>MIN('plafond sécu et CNAV'!$F34,'Grilles et calculs individuels'!J35*'données complémentaire'!$I34)*$I$1/$B35</f>
        <v>12.255451356852284</v>
      </c>
    </row>
    <row r="35" spans="1:14" ht="12.75" customHeight="1">
      <c r="A35">
        <v>1983</v>
      </c>
      <c r="B35" s="35">
        <f t="shared" si="0"/>
        <v>5.798644042617496</v>
      </c>
      <c r="C35" s="5">
        <v>0.10950764006791201</v>
      </c>
      <c r="F35" s="6">
        <v>32</v>
      </c>
      <c r="G35" s="57">
        <f>MIN('plafond sécu et CNAV'!$F35,'Grilles et calculs individuels'!C36*'données complémentaire'!$I35)*$I$1/$B36</f>
        <v>11.607498229505774</v>
      </c>
      <c r="H35" s="57">
        <f>MIN('plafond sécu et CNAV'!$F35,'Grilles et calculs individuels'!D36*'données complémentaire'!$I35)*$I$1/$B36</f>
        <v>12.161899247425248</v>
      </c>
      <c r="I35" s="57">
        <f>MIN('plafond sécu et CNAV'!$F35,'Grilles et calculs individuels'!E36*'données complémentaire'!$I35)*$I$1/$B36</f>
        <v>12.161899247425248</v>
      </c>
      <c r="J35" s="57">
        <f>MIN('plafond sécu et CNAV'!$F35,'Grilles et calculs individuels'!F36*'données complémentaire'!$I35)*$I$1/$B36</f>
        <v>12.161899247425248</v>
      </c>
      <c r="K35" s="57">
        <f>MIN('plafond sécu et CNAV'!$F35,'Grilles et calculs individuels'!G36*'données complémentaire'!$I35)*$I$1/$B36</f>
        <v>10.33842530460001</v>
      </c>
      <c r="L35" s="57">
        <f>MIN('plafond sécu et CNAV'!$F35,'Grilles et calculs individuels'!H36*'données complémentaire'!$I35)*$I$1/$B36</f>
        <v>10.33842530460001</v>
      </c>
      <c r="M35" s="57">
        <f>MIN('plafond sécu et CNAV'!$F35,'Grilles et calculs individuels'!I36*'données complémentaire'!$I35)*$I$1/$B36</f>
        <v>9.997893410401211</v>
      </c>
      <c r="N35" s="57">
        <f>MIN('plafond sécu et CNAV'!$F35,'Grilles et calculs individuels'!J36*'données complémentaire'!$I35)*$I$1/$B36</f>
        <v>12.161899247425248</v>
      </c>
    </row>
    <row r="36" spans="1:14" ht="12.75" customHeight="1">
      <c r="A36">
        <v>1982</v>
      </c>
      <c r="B36" s="35">
        <f t="shared" si="0"/>
        <v>5.226321868556548</v>
      </c>
      <c r="C36" s="5">
        <v>0.11132075471697901</v>
      </c>
      <c r="F36" s="6">
        <v>33</v>
      </c>
      <c r="G36" s="57">
        <f>MIN('plafond sécu et CNAV'!$F36,'Grilles et calculs individuels'!C37*'données complémentaire'!$I36)*$I$1/$B37</f>
        <v>11.033469935435903</v>
      </c>
      <c r="H36" s="57">
        <f>MIN('plafond sécu et CNAV'!$F36,'Grilles et calculs individuels'!D37*'données complémentaire'!$I36)*$I$1/$B37</f>
        <v>11.330585661549597</v>
      </c>
      <c r="I36" s="57">
        <f>MIN('plafond sécu et CNAV'!$F36,'Grilles et calculs individuels'!E37*'données complémentaire'!$I36)*$I$1/$B37</f>
        <v>11.330585661549597</v>
      </c>
      <c r="J36" s="57">
        <f>MIN('plafond sécu et CNAV'!$F36,'Grilles et calculs individuels'!F37*'données complémentaire'!$I36)*$I$1/$B37</f>
        <v>11.330585661549597</v>
      </c>
      <c r="K36" s="57">
        <f>MIN('plafond sécu et CNAV'!$F36,'Grilles et calculs individuels'!G37*'données complémentaire'!$I36)*$I$1/$B37</f>
        <v>10.20824026020935</v>
      </c>
      <c r="L36" s="57">
        <f>MIN('plafond sécu et CNAV'!$F36,'Grilles et calculs individuels'!H37*'données complémentaire'!$I36)*$I$1/$B37</f>
        <v>10.20824026020935</v>
      </c>
      <c r="M36" s="57">
        <f>MIN('plafond sécu et CNAV'!$F36,'Grilles et calculs individuels'!I37*'données complémentaire'!$I36)*$I$1/$B37</f>
        <v>9.87199646196874</v>
      </c>
      <c r="N36" s="57">
        <f>MIN('plafond sécu et CNAV'!$F36,'Grilles et calculs individuels'!J37*'données complémentaire'!$I36)*$I$1/$B37</f>
        <v>11.330585661549597</v>
      </c>
    </row>
    <row r="37" spans="1:14" ht="12.75" customHeight="1">
      <c r="A37">
        <v>1981</v>
      </c>
      <c r="B37" s="35">
        <f t="shared" si="0"/>
        <v>4.702802360500808</v>
      </c>
      <c r="C37" s="5">
        <v>0.12526539278131302</v>
      </c>
      <c r="F37" s="6">
        <v>34</v>
      </c>
      <c r="G37" s="57">
        <f>MIN('plafond sécu et CNAV'!$F37,'Grilles et calculs individuels'!C38*'données complémentaire'!$I37)*$I$1/$B38</f>
        <v>10.895446340782375</v>
      </c>
      <c r="H37" s="57">
        <f>MIN('plafond sécu et CNAV'!$F37,'Grilles et calculs individuels'!D38*'données complémentaire'!$I37)*$I$1/$B38</f>
        <v>11.147832248460466</v>
      </c>
      <c r="I37" s="57">
        <f>MIN('plafond sécu et CNAV'!$F37,'Grilles et calculs individuels'!E38*'données complémentaire'!$I37)*$I$1/$B38</f>
        <v>11.147832248460466</v>
      </c>
      <c r="J37" s="57">
        <f>MIN('plafond sécu et CNAV'!$F37,'Grilles et calculs individuels'!F38*'données complémentaire'!$I37)*$I$1/$B38</f>
        <v>11.147832248460466</v>
      </c>
      <c r="K37" s="57">
        <f>MIN('plafond sécu et CNAV'!$F37,'Grilles et calculs individuels'!G38*'données complémentaire'!$I37)*$I$1/$B38</f>
        <v>9.869284766767175</v>
      </c>
      <c r="L37" s="57">
        <f>MIN('plafond sécu et CNAV'!$F37,'Grilles et calculs individuels'!H38*'données complémentaire'!$I37)*$I$1/$B38</f>
        <v>9.869284766767175</v>
      </c>
      <c r="M37" s="57">
        <f>MIN('plafond sécu et CNAV'!$F37,'Grilles et calculs individuels'!I38*'données complémentaire'!$I37)*$I$1/$B38</f>
        <v>9.718323056456612</v>
      </c>
      <c r="N37" s="57">
        <f>MIN('plafond sécu et CNAV'!$F37,'Grilles et calculs individuels'!J38*'données complémentaire'!$I37)*$I$1/$B38</f>
        <v>11.147832248460466</v>
      </c>
    </row>
    <row r="38" spans="1:14" ht="12.75" customHeight="1">
      <c r="A38">
        <v>1980</v>
      </c>
      <c r="B38" s="35">
        <f t="shared" si="0"/>
        <v>4.17928285244507</v>
      </c>
      <c r="C38" s="5">
        <v>0.136308805790114</v>
      </c>
      <c r="F38" s="6">
        <v>35</v>
      </c>
      <c r="G38" s="57">
        <f>MIN('plafond sécu et CNAV'!$F38,'Grilles et calculs individuels'!C39*'données complémentaire'!$I38)*$I$1/$B39</f>
        <v>10.433490859167998</v>
      </c>
      <c r="H38" s="57">
        <f>MIN('plafond sécu et CNAV'!$F38,'Grilles et calculs individuels'!D39*'données complémentaire'!$I38)*$I$1/$B39</f>
        <v>11.302033607545498</v>
      </c>
      <c r="I38" s="57">
        <f>MIN('plafond sécu et CNAV'!$F38,'Grilles et calculs individuels'!E39*'données complémentaire'!$I38)*$I$1/$B39</f>
        <v>11.302033607545498</v>
      </c>
      <c r="J38" s="57">
        <f>MIN('plafond sécu et CNAV'!$F38,'Grilles et calculs individuels'!F39*'données complémentaire'!$I38)*$I$1/$B39</f>
        <v>11.302033607545498</v>
      </c>
      <c r="K38" s="57">
        <f>MIN('plafond sécu et CNAV'!$F38,'Grilles et calculs individuels'!G39*'données complémentaire'!$I38)*$I$1/$B39</f>
        <v>9.803922725666126</v>
      </c>
      <c r="L38" s="57">
        <f>MIN('plafond sécu et CNAV'!$F38,'Grilles et calculs individuels'!H39*'données complémentaire'!$I38)*$I$1/$B39</f>
        <v>9.803922725666126</v>
      </c>
      <c r="M38" s="57">
        <f>MIN('plafond sécu et CNAV'!$F38,'Grilles et calculs individuels'!I39*'données complémentaire'!$I38)*$I$1/$B39</f>
        <v>9.62398136569475</v>
      </c>
      <c r="N38" s="57">
        <f>MIN('plafond sécu et CNAV'!$F38,'Grilles et calculs individuels'!J39*'données complémentaire'!$I38)*$I$1/$B39</f>
        <v>11.070602414201593</v>
      </c>
    </row>
    <row r="39" spans="1:14" ht="12.75" customHeight="1">
      <c r="A39">
        <v>1979</v>
      </c>
      <c r="B39" s="35">
        <f t="shared" si="0"/>
        <v>3.6779463743916625</v>
      </c>
      <c r="C39" s="5">
        <v>0.117250673854441</v>
      </c>
      <c r="F39" s="6">
        <v>36</v>
      </c>
      <c r="G39" s="57">
        <f>MIN('plafond sécu et CNAV'!$F39,'Grilles et calculs individuels'!C40*'données complémentaire'!$I39)*$I$1/$B40</f>
        <v>10.519966700369212</v>
      </c>
      <c r="H39" s="57">
        <f>MIN('plafond sécu et CNAV'!$F39,'Grilles et calculs individuels'!D40*'données complémentaire'!$I39)*$I$1/$B40</f>
        <v>11.299512003539819</v>
      </c>
      <c r="I39" s="57">
        <f>MIN('plafond sécu et CNAV'!$F39,'Grilles et calculs individuels'!E40*'données complémentaire'!$I39)*$I$1/$B40</f>
        <v>11.299512003539819</v>
      </c>
      <c r="J39" s="57">
        <f>MIN('plafond sécu et CNAV'!$F39,'Grilles et calculs individuels'!F40*'données complémentaire'!$I39)*$I$1/$B40</f>
        <v>11.299512003539819</v>
      </c>
      <c r="K39" s="57">
        <f>MIN('plafond sécu et CNAV'!$F39,'Grilles et calculs individuels'!G40*'données complémentaire'!$I39)*$I$1/$B40</f>
        <v>9.824659407315407</v>
      </c>
      <c r="L39" s="57">
        <f>MIN('plafond sécu et CNAV'!$F39,'Grilles et calculs individuels'!H40*'données complémentaire'!$I39)*$I$1/$B40</f>
        <v>9.824659407315407</v>
      </c>
      <c r="M39" s="57">
        <f>MIN('plafond sécu et CNAV'!$F39,'Grilles et calculs individuels'!I40*'données complémentaire'!$I39)*$I$1/$B40</f>
        <v>0</v>
      </c>
      <c r="N39" s="57">
        <f>MIN('plafond sécu et CNAV'!$F39,'Grilles et calculs individuels'!J40*'données complémentaire'!$I39)*$I$1/$B40</f>
        <v>0</v>
      </c>
    </row>
    <row r="40" spans="1:14" ht="12.75" customHeight="1">
      <c r="A40">
        <v>1978</v>
      </c>
      <c r="B40" s="35">
        <f t="shared" si="0"/>
        <v>3.291961652350578</v>
      </c>
      <c r="C40" s="5">
        <v>0.100890207715134</v>
      </c>
      <c r="F40" s="6">
        <v>37</v>
      </c>
      <c r="G40" s="57">
        <f>MIN('plafond sécu et CNAV'!$F40,'Grilles et calculs individuels'!C41*'données complémentaire'!$I40)*$I$1/$B41</f>
        <v>10.245602963551981</v>
      </c>
      <c r="H40" s="57">
        <f>MIN('plafond sécu et CNAV'!$F40,'Grilles et calculs individuels'!D41*'données complémentaire'!$I40)*$I$1/$B41</f>
        <v>11.226668710282581</v>
      </c>
      <c r="I40" s="57">
        <f>MIN('plafond sécu et CNAV'!$F40,'Grilles et calculs individuels'!E41*'données complémentaire'!$I40)*$I$1/$B41</f>
        <v>11.226668710282581</v>
      </c>
      <c r="J40" s="57">
        <f>MIN('plafond sécu et CNAV'!$F40,'Grilles et calculs individuels'!F41*'données complémentaire'!$I40)*$I$1/$B41</f>
        <v>11.226668710282581</v>
      </c>
      <c r="K40" s="57">
        <f>MIN('plafond sécu et CNAV'!$F40,'Grilles et calculs individuels'!G41*'données complémentaire'!$I40)*$I$1/$B41</f>
        <v>9.793554699657983</v>
      </c>
      <c r="L40" s="57">
        <f>MIN('plafond sécu et CNAV'!$F40,'Grilles et calculs individuels'!H41*'données complémentaire'!$I40)*$I$1/$B41</f>
        <v>9.793554699657983</v>
      </c>
      <c r="M40" s="57">
        <f>MIN('plafond sécu et CNAV'!$F40,'Grilles et calculs individuels'!I41*'données complémentaire'!$I40)*$I$1/$B41</f>
        <v>0</v>
      </c>
      <c r="N40" s="57">
        <f>MIN('plafond sécu et CNAV'!$F40,'Grilles et calculs individuels'!J41*'données complémentaire'!$I40)*$I$1/$B41</f>
        <v>0</v>
      </c>
    </row>
    <row r="41" spans="1:14" ht="12.75" customHeight="1">
      <c r="A41">
        <v>1977</v>
      </c>
      <c r="B41" s="35">
        <f t="shared" si="0"/>
        <v>2.9902724443184487</v>
      </c>
      <c r="C41" s="5">
        <v>0.101307189542487</v>
      </c>
      <c r="F41" s="6">
        <v>38</v>
      </c>
      <c r="G41" s="57">
        <f>MIN('plafond sécu et CNAV'!$F41,'Grilles et calculs individuels'!C42*'données complémentaire'!$I41)*$I$1/$B42</f>
        <v>10.280624354354485</v>
      </c>
      <c r="H41" s="57">
        <f>MIN('plafond sécu et CNAV'!$F41,'Grilles et calculs individuels'!D42*'données complémentaire'!$I41)*$I$1/$B42</f>
        <v>10.822790761821887</v>
      </c>
      <c r="I41" s="57">
        <f>MIN('plafond sécu et CNAV'!$F41,'Grilles et calculs individuels'!E42*'données complémentaire'!$I41)*$I$1/$B42</f>
        <v>10.822790761821887</v>
      </c>
      <c r="J41" s="57">
        <f>MIN('plafond sécu et CNAV'!$F41,'Grilles et calculs individuels'!F42*'données complémentaire'!$I41)*$I$1/$B42</f>
        <v>10.822790761821887</v>
      </c>
      <c r="K41" s="57">
        <f>MIN('plafond sécu et CNAV'!$F41,'Grilles et calculs individuels'!G42*'données complémentaire'!$I41)*$I$1/$B42</f>
        <v>9.766560485222309</v>
      </c>
      <c r="L41" s="57">
        <f>MIN('plafond sécu et CNAV'!$F41,'Grilles et calculs individuels'!H42*'données complémentaire'!$I41)*$I$1/$B42</f>
        <v>9.766560485222309</v>
      </c>
      <c r="M41" s="57">
        <f>MIN('plafond sécu et CNAV'!$F41,'Grilles et calculs individuels'!I42*'données complémentaire'!$I41)*$I$1/$B42</f>
        <v>0</v>
      </c>
      <c r="N41" s="57">
        <f>MIN('plafond sécu et CNAV'!$F41,'Grilles et calculs individuels'!J42*'données complémentaire'!$I41)*$I$1/$B42</f>
        <v>0</v>
      </c>
    </row>
    <row r="42" spans="1:14" ht="12.75" customHeight="1">
      <c r="A42">
        <v>1976</v>
      </c>
      <c r="B42" s="35">
        <f t="shared" si="0"/>
        <v>2.715202872289147</v>
      </c>
      <c r="C42" s="5">
        <v>0.10469314079422401</v>
      </c>
      <c r="F42" s="6">
        <v>39</v>
      </c>
      <c r="G42" s="57">
        <f>MIN('plafond sécu et CNAV'!$F42,'Grilles et calculs individuels'!C43*'données complémentaire'!$I42)*$I$1/$B43</f>
        <v>10.002921787834179</v>
      </c>
      <c r="H42" s="57">
        <f>MIN('plafond sécu et CNAV'!$F42,'Grilles et calculs individuels'!D43*'données complémentaire'!$I42)*$I$1/$B43</f>
        <v>10.404627366075397</v>
      </c>
      <c r="I42" s="57">
        <f>MIN('plafond sécu et CNAV'!$F42,'Grilles et calculs individuels'!E43*'données complémentaire'!$I42)*$I$1/$B43</f>
        <v>10.404627366075397</v>
      </c>
      <c r="J42" s="57">
        <f>MIN('plafond sécu et CNAV'!$F42,'Grilles et calculs individuels'!F43*'données complémentaire'!$I42)*$I$1/$B43</f>
        <v>10.404627366075397</v>
      </c>
      <c r="K42" s="57">
        <f>MIN('plafond sécu et CNAV'!$F42,'Grilles et calculs individuels'!G43*'données complémentaire'!$I42)*$I$1/$B43</f>
        <v>9.731710814988382</v>
      </c>
      <c r="L42" s="57">
        <f>MIN('plafond sécu et CNAV'!$F42,'Grilles et calculs individuels'!H43*'données complémentaire'!$I42)*$I$1/$B43</f>
        <v>9.731710814988382</v>
      </c>
      <c r="M42" s="57">
        <f>MIN('plafond sécu et CNAV'!$F42,'Grilles et calculs individuels'!I43*'données complémentaire'!$I42)*$I$1/$B43</f>
        <v>0</v>
      </c>
      <c r="N42" s="57">
        <f>MIN('plafond sécu et CNAV'!$F42,'Grilles et calculs individuels'!J43*'données complémentaire'!$I42)*$I$1/$B43</f>
        <v>0</v>
      </c>
    </row>
    <row r="43" spans="1:14" ht="12.75" customHeight="1">
      <c r="A43">
        <v>1975</v>
      </c>
      <c r="B43" s="35">
        <f t="shared" si="0"/>
        <v>2.4578797242617436</v>
      </c>
      <c r="C43" s="5">
        <v>0.15176715176715203</v>
      </c>
      <c r="F43" s="6">
        <v>40</v>
      </c>
      <c r="G43" s="57">
        <f>MIN('plafond sécu et CNAV'!$F43,'Grilles et calculs individuels'!C44*'données complémentaire'!$I43)*$I$1/$B44</f>
        <v>10.109891862460321</v>
      </c>
      <c r="H43" s="57">
        <f>MIN('plafond sécu et CNAV'!$F43,'Grilles et calculs individuels'!D44*'données complémentaire'!$I43)*$I$1/$B44</f>
        <v>10.109891862460321</v>
      </c>
      <c r="I43" s="57">
        <f>MIN('plafond sécu et CNAV'!$F43,'Grilles et calculs individuels'!E44*'données complémentaire'!$I43)*$I$1/$B44</f>
        <v>10.109891862460321</v>
      </c>
      <c r="J43" s="57">
        <f>MIN('plafond sécu et CNAV'!$F43,'Grilles et calculs individuels'!F44*'données complémentaire'!$I43)*$I$1/$B44</f>
        <v>10.109891862460321</v>
      </c>
      <c r="K43" s="57">
        <f>MIN('plafond sécu et CNAV'!$F43,'Grilles et calculs individuels'!G44*'données complémentaire'!$I43)*$I$1/$B44</f>
        <v>9.868801872476384</v>
      </c>
      <c r="L43" s="57">
        <f>MIN('plafond sécu et CNAV'!$F43,'Grilles et calculs individuels'!H44*'données complémentaire'!$I43)*$I$1/$B44</f>
        <v>9.868801872476384</v>
      </c>
      <c r="M43" s="57">
        <f>MIN('plafond sécu et CNAV'!$F43,'Grilles et calculs individuels'!I44*'données complémentaire'!$I43)*$I$1/$B44</f>
        <v>0</v>
      </c>
      <c r="N43" s="57">
        <f>MIN('plafond sécu et CNAV'!$F43,'Grilles et calculs individuels'!J44*'données complémentaire'!$I43)*$I$1/$B44</f>
        <v>0</v>
      </c>
    </row>
    <row r="44" spans="1:14" ht="12.75" customHeight="1">
      <c r="A44">
        <v>1974</v>
      </c>
      <c r="B44" s="35">
        <f t="shared" si="0"/>
        <v>2.1340074862272536</v>
      </c>
      <c r="C44" s="48">
        <v>0.1318</v>
      </c>
      <c r="F44" s="6">
        <v>41</v>
      </c>
      <c r="G44" s="57">
        <f>MIN('plafond sécu et CNAV'!$F44,'Grilles et calculs individuels'!C45*'données complémentaire'!$I44)*$I$1/$B45</f>
        <v>9.961370997120554</v>
      </c>
      <c r="H44" s="57">
        <f>MIN('plafond sécu et CNAV'!$F44,'Grilles et calculs individuels'!D45*'données complémentaire'!$I44)*$I$1/$B45</f>
        <v>10.06139924321659</v>
      </c>
      <c r="I44" s="57">
        <f>MIN('plafond sécu et CNAV'!$F44,'Grilles et calculs individuels'!E45*'données complémentaire'!$I44)*$I$1/$B45</f>
        <v>10.06139924321659</v>
      </c>
      <c r="J44" s="57">
        <f>MIN('plafond sécu et CNAV'!$F44,'Grilles et calculs individuels'!F45*'données complémentaire'!$I44)*$I$1/$B45</f>
        <v>10.06139924321659</v>
      </c>
      <c r="K44" s="57">
        <f>MIN('plafond sécu et CNAV'!$F44,'Grilles et calculs individuels'!G45*'données complémentaire'!$I44)*$I$1/$B45</f>
        <v>9.778539828968979</v>
      </c>
      <c r="L44" s="57">
        <f>MIN('plafond sécu et CNAV'!$F44,'Grilles et calculs individuels'!H45*'données complémentaire'!$I44)*$I$1/$B45</f>
        <v>9.778539828968979</v>
      </c>
      <c r="M44" s="57">
        <f>MIN('plafond sécu et CNAV'!$F44,'Grilles et calculs individuels'!I45*'données complémentaire'!$I44)*$I$1/$B45</f>
        <v>0</v>
      </c>
      <c r="N44" s="57">
        <f>MIN('plafond sécu et CNAV'!$F44,'Grilles et calculs individuels'!J45*'données complémentaire'!$I44)*$I$1/$B45</f>
        <v>0</v>
      </c>
    </row>
    <row r="45" spans="1:14" ht="12.75" customHeight="1">
      <c r="A45">
        <v>1973</v>
      </c>
      <c r="B45" s="35">
        <f t="shared" si="0"/>
        <v>1.8854987508634509</v>
      </c>
      <c r="C45" s="5">
        <v>0.0954</v>
      </c>
      <c r="F45" s="6">
        <v>42</v>
      </c>
      <c r="H45" s="57">
        <f>MIN('plafond sécu et CNAV'!$F45,'Grilles et calculs individuels'!D46*'données complémentaire'!$I45)*$I$1/$B46</f>
        <v>9.886715596943919</v>
      </c>
      <c r="N45" s="57"/>
    </row>
    <row r="46" spans="1:14" ht="12.75" customHeight="1">
      <c r="A46">
        <v>1972</v>
      </c>
      <c r="B46" s="35">
        <f t="shared" si="0"/>
        <v>1.7212878864921042</v>
      </c>
      <c r="F46" s="3" t="s">
        <v>81</v>
      </c>
      <c r="G46" s="61">
        <f>SUM(G3:G45)</f>
        <v>463.4046669038876</v>
      </c>
      <c r="H46" s="61">
        <f>SUM(H3:H45)</f>
        <v>520.7934570517991</v>
      </c>
      <c r="I46" s="61">
        <f>SUM(I3:I45)</f>
        <v>510.90674145485525</v>
      </c>
      <c r="J46" s="61">
        <f>SUM(J3:J45)</f>
        <v>510.4205505934248</v>
      </c>
      <c r="K46" s="61">
        <f>SUM(K3:K45)</f>
        <v>398.78242632472904</v>
      </c>
      <c r="L46" s="61">
        <f>SUM(L3:L45)</f>
        <v>398.78242632472904</v>
      </c>
      <c r="M46" s="61">
        <f>SUM(M3:M45)</f>
        <v>327.0604176277933</v>
      </c>
      <c r="N46" s="61">
        <f>SUM(N3:N45)</f>
        <v>446.26422945268433</v>
      </c>
    </row>
    <row r="53" spans="6:9" ht="12.75" customHeight="1">
      <c r="F53" t="s">
        <v>82</v>
      </c>
      <c r="H53" s="60" t="s">
        <v>83</v>
      </c>
      <c r="I53" s="5">
        <v>0.161</v>
      </c>
    </row>
    <row r="54" spans="6:14" ht="12.75" customHeight="1">
      <c r="F54" s="3" t="s">
        <v>56</v>
      </c>
      <c r="G54" s="61" t="s">
        <v>3</v>
      </c>
      <c r="H54" s="61" t="s">
        <v>57</v>
      </c>
      <c r="I54" s="61" t="s">
        <v>5</v>
      </c>
      <c r="J54" s="61" t="s">
        <v>6</v>
      </c>
      <c r="K54" s="61" t="s">
        <v>58</v>
      </c>
      <c r="L54" s="61" t="s">
        <v>59</v>
      </c>
      <c r="M54" s="61" t="s">
        <v>60</v>
      </c>
      <c r="N54" s="3" t="s">
        <v>10</v>
      </c>
    </row>
    <row r="55" spans="6:14" ht="12.75" customHeight="1">
      <c r="F55" s="10">
        <v>0</v>
      </c>
      <c r="G55" s="57">
        <f>MAX(0,'Grilles et calculs individuels'!C4*'données complémentaire'!$I3-'plafond sécu et CNAV'!$F3)*$I$53/$B4</f>
        <v>0</v>
      </c>
      <c r="H55" s="62" t="s">
        <v>61</v>
      </c>
      <c r="I55" s="62" t="s">
        <v>61</v>
      </c>
      <c r="J55" s="62" t="s">
        <v>61</v>
      </c>
      <c r="K55" s="57">
        <f>MAX(0,'Grilles et calculs individuels'!G4*'données complémentaire'!$I3-'plafond sécu et CNAV'!$F3)*$I$53/$B4</f>
        <v>0</v>
      </c>
      <c r="L55" s="57">
        <f>MAX(0,'Grilles et calculs individuels'!H4*'données complémentaire'!$I3-'plafond sécu et CNAV'!$F3)*$I$53/$B4</f>
        <v>0</v>
      </c>
      <c r="M55" s="57">
        <f>MAX(0,'Grilles et calculs individuels'!I4*'données complémentaire'!$I3-'plafond sécu et CNAV'!$F3)*$I$53/$B4</f>
        <v>0</v>
      </c>
      <c r="N55" s="62" t="s">
        <v>61</v>
      </c>
    </row>
    <row r="56" spans="6:14" ht="12.75" customHeight="1">
      <c r="F56" s="10">
        <v>1</v>
      </c>
      <c r="G56" s="57">
        <f>MAX(0,'Grilles et calculs individuels'!C5*'données complémentaire'!$I4-'plafond sécu et CNAV'!$F4)*$I$53/$B5</f>
        <v>0</v>
      </c>
      <c r="H56" s="62" t="s">
        <v>61</v>
      </c>
      <c r="I56" s="62" t="s">
        <v>61</v>
      </c>
      <c r="J56" s="62" t="s">
        <v>61</v>
      </c>
      <c r="K56" s="57">
        <f>MAX(0,'Grilles et calculs individuels'!G5*'données complémentaire'!$I4-'plafond sécu et CNAV'!$F4)*$I$53/$B5</f>
        <v>0</v>
      </c>
      <c r="L56" s="57">
        <f>MAX(0,'Grilles et calculs individuels'!H5*'données complémentaire'!$I4-'plafond sécu et CNAV'!$F4)*$I$53/$B5</f>
        <v>0</v>
      </c>
      <c r="M56" s="57">
        <f>MAX(0,'Grilles et calculs individuels'!I5*'données complémentaire'!$I4-'plafond sécu et CNAV'!$F4)*$I$53/$B5</f>
        <v>0</v>
      </c>
      <c r="N56" s="62" t="s">
        <v>61</v>
      </c>
    </row>
    <row r="57" spans="6:14" ht="12.75" customHeight="1">
      <c r="F57" s="10">
        <v>2</v>
      </c>
      <c r="G57" s="57">
        <f>MAX(0,'Grilles et calculs individuels'!C6*'données complémentaire'!$I5-'plafond sécu et CNAV'!$F5)*$I$53/$B6</f>
        <v>0</v>
      </c>
      <c r="H57" s="62" t="s">
        <v>61</v>
      </c>
      <c r="I57" s="62" t="s">
        <v>61</v>
      </c>
      <c r="J57" s="62" t="s">
        <v>61</v>
      </c>
      <c r="K57" s="57">
        <f>MAX(0,'Grilles et calculs individuels'!G6*'données complémentaire'!$I5-'plafond sécu et CNAV'!$F5)*$I$53/$B6</f>
        <v>0</v>
      </c>
      <c r="L57" s="57">
        <f>MAX(0,'Grilles et calculs individuels'!H6*'données complémentaire'!$I5-'plafond sécu et CNAV'!$F5)*$I$53/$B6</f>
        <v>0</v>
      </c>
      <c r="M57" s="57">
        <f>MAX(0,'Grilles et calculs individuels'!I6*'données complémentaire'!$I5-'plafond sécu et CNAV'!$F5)*$I$53/$B6</f>
        <v>0</v>
      </c>
      <c r="N57" s="62" t="s">
        <v>61</v>
      </c>
    </row>
    <row r="58" spans="6:14" ht="12.75" customHeight="1">
      <c r="F58" s="10">
        <v>3</v>
      </c>
      <c r="G58" s="57">
        <f>MAX(0,'Grilles et calculs individuels'!C7*'données complémentaire'!$I6-'plafond sécu et CNAV'!$F6)*$I$53/$B7</f>
        <v>0</v>
      </c>
      <c r="H58" s="62" t="s">
        <v>61</v>
      </c>
      <c r="I58" s="62" t="s">
        <v>61</v>
      </c>
      <c r="J58" s="62" t="s">
        <v>61</v>
      </c>
      <c r="K58" s="57">
        <f>MAX(0,'Grilles et calculs individuels'!G7*'données complémentaire'!$I6-'plafond sécu et CNAV'!$F6)*$I$53/$B7</f>
        <v>0</v>
      </c>
      <c r="L58" s="57">
        <f>MAX(0,'Grilles et calculs individuels'!H7*'données complémentaire'!$I6-'plafond sécu et CNAV'!$F6)*$I$53/$B7</f>
        <v>0</v>
      </c>
      <c r="M58" s="57">
        <f>MAX(0,'Grilles et calculs individuels'!I7*'données complémentaire'!$I6-'plafond sécu et CNAV'!$F6)*$I$53/$B7</f>
        <v>0</v>
      </c>
      <c r="N58" s="62" t="s">
        <v>61</v>
      </c>
    </row>
    <row r="59" spans="6:14" ht="12.75" customHeight="1">
      <c r="F59" s="10">
        <v>4</v>
      </c>
      <c r="G59" s="57">
        <f>MAX(0,'Grilles et calculs individuels'!C8*'données complémentaire'!$I7-'plafond sécu et CNAV'!$F7)*$I$53/$B8</f>
        <v>0</v>
      </c>
      <c r="H59" s="62" t="s">
        <v>61</v>
      </c>
      <c r="I59" s="62" t="s">
        <v>61</v>
      </c>
      <c r="J59" s="62" t="s">
        <v>61</v>
      </c>
      <c r="K59" s="57">
        <f>MAX(0,'Grilles et calculs individuels'!G8*'données complémentaire'!$I7-'plafond sécu et CNAV'!$F7)*$I$53/$B8</f>
        <v>0</v>
      </c>
      <c r="L59" s="57">
        <f>MAX(0,'Grilles et calculs individuels'!H8*'données complémentaire'!$I7-'plafond sécu et CNAV'!$F7)*$I$53/$B8</f>
        <v>0</v>
      </c>
      <c r="M59" s="57">
        <f>MAX(0,'Grilles et calculs individuels'!I8*'données complémentaire'!$I7-'plafond sécu et CNAV'!$F7)*$I$53/$B8</f>
        <v>0</v>
      </c>
      <c r="N59" s="62" t="s">
        <v>61</v>
      </c>
    </row>
    <row r="60" spans="6:14" ht="12.75" customHeight="1">
      <c r="F60" s="10">
        <v>5</v>
      </c>
      <c r="G60" s="57">
        <f>MAX(0,'Grilles et calculs individuels'!C9*'données complémentaire'!$I8-'plafond sécu et CNAV'!$F8)*$I$53/$B9</f>
        <v>0</v>
      </c>
      <c r="H60" s="62" t="s">
        <v>61</v>
      </c>
      <c r="I60" s="62" t="s">
        <v>61</v>
      </c>
      <c r="J60" s="62" t="s">
        <v>61</v>
      </c>
      <c r="K60" s="57">
        <f>MAX(0,'Grilles et calculs individuels'!G9*'données complémentaire'!$I8-'plafond sécu et CNAV'!$F8)*$I$53/$B9</f>
        <v>0</v>
      </c>
      <c r="L60" s="57">
        <f>MAX(0,'Grilles et calculs individuels'!H9*'données complémentaire'!$I8-'plafond sécu et CNAV'!$F8)*$I$53/$B9</f>
        <v>0</v>
      </c>
      <c r="M60" s="57">
        <f>MAX(0,'Grilles et calculs individuels'!I9*'données complémentaire'!$I8-'plafond sécu et CNAV'!$F8)*$I$53/$B9</f>
        <v>0</v>
      </c>
      <c r="N60" s="62" t="s">
        <v>61</v>
      </c>
    </row>
    <row r="61" spans="6:14" ht="12.75" customHeight="1">
      <c r="F61" s="10">
        <v>6</v>
      </c>
      <c r="G61" s="57">
        <f>MAX(0,'Grilles et calculs individuels'!C10*'données complémentaire'!$I9-'plafond sécu et CNAV'!$F9)*$I$53/$B10</f>
        <v>0</v>
      </c>
      <c r="H61" s="62" t="s">
        <v>61</v>
      </c>
      <c r="I61" s="62" t="s">
        <v>61</v>
      </c>
      <c r="J61" s="62" t="s">
        <v>61</v>
      </c>
      <c r="K61" s="57">
        <f>MAX(0,'Grilles et calculs individuels'!G10*'données complémentaire'!$I9-'plafond sécu et CNAV'!$F9)*$I$53/$B10</f>
        <v>0</v>
      </c>
      <c r="L61" s="57">
        <f>MAX(0,'Grilles et calculs individuels'!H10*'données complémentaire'!$I9-'plafond sécu et CNAV'!$F9)*$I$53/$B10</f>
        <v>0</v>
      </c>
      <c r="M61" s="57">
        <f>MAX(0,'Grilles et calculs individuels'!I10*'données complémentaire'!$I9-'plafond sécu et CNAV'!$F9)*$I$53/$B10</f>
        <v>0</v>
      </c>
      <c r="N61" s="62" t="s">
        <v>61</v>
      </c>
    </row>
    <row r="62" spans="6:14" ht="12.75" customHeight="1">
      <c r="F62" s="10">
        <v>7</v>
      </c>
      <c r="G62" s="57">
        <f>MAX(0,'Grilles et calculs individuels'!C11*'données complémentaire'!$I10-'plafond sécu et CNAV'!$F10)*$I$53/$B11</f>
        <v>0</v>
      </c>
      <c r="H62" s="62" t="s">
        <v>61</v>
      </c>
      <c r="I62" s="62" t="s">
        <v>61</v>
      </c>
      <c r="J62" s="62" t="s">
        <v>61</v>
      </c>
      <c r="K62" s="57">
        <f>MAX(0,'Grilles et calculs individuels'!G11*'données complémentaire'!$I10-'plafond sécu et CNAV'!$F10)*$I$53/$B11</f>
        <v>0</v>
      </c>
      <c r="L62" s="57">
        <f>MAX(0,'Grilles et calculs individuels'!H11*'données complémentaire'!$I10-'plafond sécu et CNAV'!$F10)*$I$53/$B11</f>
        <v>0</v>
      </c>
      <c r="M62" s="57">
        <f>MAX(0,'Grilles et calculs individuels'!I11*'données complémentaire'!$I10-'plafond sécu et CNAV'!$F10)*$I$53/$B11</f>
        <v>0</v>
      </c>
      <c r="N62" s="62" t="s">
        <v>61</v>
      </c>
    </row>
    <row r="63" spans="6:14" ht="12.75" customHeight="1">
      <c r="F63" s="10">
        <v>8</v>
      </c>
      <c r="G63" s="57">
        <f>MAX(0,'Grilles et calculs individuels'!C12*'données complémentaire'!$I11-'plafond sécu et CNAV'!$F11)*$I$53/$B12</f>
        <v>0</v>
      </c>
      <c r="H63" s="62" t="s">
        <v>61</v>
      </c>
      <c r="I63" s="62" t="s">
        <v>61</v>
      </c>
      <c r="J63" s="62" t="s">
        <v>61</v>
      </c>
      <c r="K63" s="57">
        <f>MAX(0,'Grilles et calculs individuels'!G12*'données complémentaire'!$I11-'plafond sécu et CNAV'!$F11)*$I$53/$B12</f>
        <v>0</v>
      </c>
      <c r="L63" s="57">
        <f>MAX(0,'Grilles et calculs individuels'!H12*'données complémentaire'!$I11-'plafond sécu et CNAV'!$F11)*$I$53/$B12</f>
        <v>0</v>
      </c>
      <c r="M63" s="57">
        <f>MAX(0,'Grilles et calculs individuels'!I12*'données complémentaire'!$I11-'plafond sécu et CNAV'!$F11)*$I$53/$B12</f>
        <v>0</v>
      </c>
      <c r="N63" s="62" t="s">
        <v>61</v>
      </c>
    </row>
    <row r="64" spans="6:14" ht="12.75" customHeight="1">
      <c r="F64" s="10">
        <v>9</v>
      </c>
      <c r="G64" s="57">
        <f>MAX(0,'Grilles et calculs individuels'!C13*'données complémentaire'!$I12-'plafond sécu et CNAV'!$F12)*$I$53/$B13</f>
        <v>0</v>
      </c>
      <c r="H64" s="62" t="s">
        <v>61</v>
      </c>
      <c r="I64" s="62" t="s">
        <v>61</v>
      </c>
      <c r="J64" s="62" t="s">
        <v>61</v>
      </c>
      <c r="K64" s="57">
        <f>MAX(0,'Grilles et calculs individuels'!G13*'données complémentaire'!$I12-'plafond sécu et CNAV'!$F12)*$I$53/$B13</f>
        <v>0</v>
      </c>
      <c r="L64" s="57">
        <f>MAX(0,'Grilles et calculs individuels'!H13*'données complémentaire'!$I12-'plafond sécu et CNAV'!$F12)*$I$53/$B13</f>
        <v>0</v>
      </c>
      <c r="M64" s="57">
        <f>MAX(0,'Grilles et calculs individuels'!I13*'données complémentaire'!$I12-'plafond sécu et CNAV'!$F12)*$I$53/$B13</f>
        <v>0</v>
      </c>
      <c r="N64" s="62" t="s">
        <v>61</v>
      </c>
    </row>
    <row r="65" spans="6:14" ht="12.75" customHeight="1">
      <c r="F65" s="10">
        <v>10</v>
      </c>
      <c r="G65" s="57">
        <f>MAX(0,'Grilles et calculs individuels'!C14*'données complémentaire'!$I13-'plafond sécu et CNAV'!$F13)*$I$53/$B14</f>
        <v>0</v>
      </c>
      <c r="H65" s="62" t="s">
        <v>61</v>
      </c>
      <c r="I65" s="62" t="s">
        <v>61</v>
      </c>
      <c r="J65" s="62" t="s">
        <v>61</v>
      </c>
      <c r="K65" s="57">
        <f>MAX(0,'Grilles et calculs individuels'!G14*'données complémentaire'!$I13-'plafond sécu et CNAV'!$F13)*$I$53/$B14</f>
        <v>0</v>
      </c>
      <c r="L65" s="57">
        <f>MAX(0,'Grilles et calculs individuels'!H14*'données complémentaire'!$I13-'plafond sécu et CNAV'!$F13)*$I$53/$B14</f>
        <v>0</v>
      </c>
      <c r="M65" s="57">
        <f>MAX(0,'Grilles et calculs individuels'!I14*'données complémentaire'!$I13-'plafond sécu et CNAV'!$F13)*$I$53/$B14</f>
        <v>0</v>
      </c>
      <c r="N65" s="62" t="s">
        <v>61</v>
      </c>
    </row>
    <row r="66" spans="6:14" ht="12.75" customHeight="1">
      <c r="F66" s="10">
        <v>11</v>
      </c>
      <c r="G66" s="57">
        <f>MAX(0,'Grilles et calculs individuels'!C15*'données complémentaire'!$I14-'plafond sécu et CNAV'!$F14)*$I$53/$B15</f>
        <v>0</v>
      </c>
      <c r="H66" s="62" t="s">
        <v>61</v>
      </c>
      <c r="I66" s="62" t="s">
        <v>61</v>
      </c>
      <c r="J66" s="62" t="s">
        <v>61</v>
      </c>
      <c r="K66" s="57">
        <f>MAX(0,'Grilles et calculs individuels'!G15*'données complémentaire'!$I14-'plafond sécu et CNAV'!$F14)*$I$53/$B15</f>
        <v>0</v>
      </c>
      <c r="L66" s="57">
        <f>MAX(0,'Grilles et calculs individuels'!H15*'données complémentaire'!$I14-'plafond sécu et CNAV'!$F14)*$I$53/$B15</f>
        <v>0</v>
      </c>
      <c r="M66" s="57">
        <f>MAX(0,'Grilles et calculs individuels'!I15*'données complémentaire'!$I14-'plafond sécu et CNAV'!$F14)*$I$53/$B15</f>
        <v>0</v>
      </c>
      <c r="N66" s="62" t="s">
        <v>61</v>
      </c>
    </row>
    <row r="67" spans="6:14" ht="12.75" customHeight="1">
      <c r="F67" s="10">
        <v>12</v>
      </c>
      <c r="G67" s="57">
        <f>MAX(0,'Grilles et calculs individuels'!C16*'données complémentaire'!$I15-'plafond sécu et CNAV'!$F15)*$I$53/$B16</f>
        <v>0</v>
      </c>
      <c r="H67" s="62" t="s">
        <v>61</v>
      </c>
      <c r="I67" s="62" t="s">
        <v>61</v>
      </c>
      <c r="J67" s="62" t="s">
        <v>61</v>
      </c>
      <c r="K67" s="57">
        <f>MAX(0,'Grilles et calculs individuels'!G16*'données complémentaire'!$I15-'plafond sécu et CNAV'!$F15)*$I$53/$B16</f>
        <v>0</v>
      </c>
      <c r="L67" s="57">
        <f>MAX(0,'Grilles et calculs individuels'!H16*'données complémentaire'!$I15-'plafond sécu et CNAV'!$F15)*$I$53/$B16</f>
        <v>0</v>
      </c>
      <c r="M67" s="57">
        <f>MAX(0,'Grilles et calculs individuels'!I16*'données complémentaire'!$I15-'plafond sécu et CNAV'!$F15)*$I$53/$B16</f>
        <v>0</v>
      </c>
      <c r="N67" s="62" t="s">
        <v>61</v>
      </c>
    </row>
    <row r="68" spans="6:14" ht="12.75" customHeight="1">
      <c r="F68" s="6">
        <v>13</v>
      </c>
      <c r="G68" s="57">
        <f>MAX(0,'Grilles et calculs individuels'!C17*'données complémentaire'!$I16-'plafond sécu et CNAV'!$F16)*$I$53/$B17</f>
        <v>0</v>
      </c>
      <c r="H68" s="62" t="s">
        <v>61</v>
      </c>
      <c r="I68" s="62" t="s">
        <v>61</v>
      </c>
      <c r="J68" s="62" t="s">
        <v>61</v>
      </c>
      <c r="K68" s="57">
        <f>MAX(0,'Grilles et calculs individuels'!G17*'données complémentaire'!$I16-'plafond sécu et CNAV'!$F16)*$I$53/$B17</f>
        <v>0</v>
      </c>
      <c r="L68" s="57">
        <f>MAX(0,'Grilles et calculs individuels'!H17*'données complémentaire'!$I16-'plafond sécu et CNAV'!$F16)*$I$53/$B17</f>
        <v>0</v>
      </c>
      <c r="M68" s="57">
        <f>MAX(0,'Grilles et calculs individuels'!I17*'données complémentaire'!$I16-'plafond sécu et CNAV'!$F16)*$I$53/$B17</f>
        <v>0</v>
      </c>
      <c r="N68" s="62" t="s">
        <v>61</v>
      </c>
    </row>
    <row r="69" spans="6:14" ht="12.75" customHeight="1">
      <c r="F69" s="6">
        <v>14</v>
      </c>
      <c r="G69" s="57">
        <f>MAX(0,'Grilles et calculs individuels'!C18*'données complémentaire'!$I17-'plafond sécu et CNAV'!$F17)*$I$53/$B18</f>
        <v>0</v>
      </c>
      <c r="H69" s="62" t="s">
        <v>61</v>
      </c>
      <c r="I69" s="62" t="s">
        <v>61</v>
      </c>
      <c r="J69" s="62" t="s">
        <v>61</v>
      </c>
      <c r="K69" s="57">
        <f>MAX(0,'Grilles et calculs individuels'!G18*'données complémentaire'!$I17-'plafond sécu et CNAV'!$F17)*$I$53/$B18</f>
        <v>0</v>
      </c>
      <c r="L69" s="57">
        <f>MAX(0,'Grilles et calculs individuels'!H18*'données complémentaire'!$I17-'plafond sécu et CNAV'!$F17)*$I$53/$B18</f>
        <v>0</v>
      </c>
      <c r="M69" s="57">
        <f>MAX(0,'Grilles et calculs individuels'!I18*'données complémentaire'!$I17-'plafond sécu et CNAV'!$F17)*$I$53/$B18</f>
        <v>0</v>
      </c>
      <c r="N69" s="62" t="s">
        <v>61</v>
      </c>
    </row>
    <row r="70" spans="6:14" ht="12.75" customHeight="1">
      <c r="F70" s="6">
        <v>15</v>
      </c>
      <c r="G70" s="57">
        <f>MAX(0,'Grilles et calculs individuels'!C19*'données complémentaire'!$I18-'plafond sécu et CNAV'!$F18)*$I$53/$B19</f>
        <v>0</v>
      </c>
      <c r="H70" s="62" t="s">
        <v>61</v>
      </c>
      <c r="I70" s="62" t="s">
        <v>61</v>
      </c>
      <c r="J70" s="62" t="s">
        <v>61</v>
      </c>
      <c r="K70" s="57">
        <f>MAX(0,'Grilles et calculs individuels'!G19*'données complémentaire'!$I18-'plafond sécu et CNAV'!$F18)*$I$53/$B19</f>
        <v>0</v>
      </c>
      <c r="L70" s="57">
        <f>MAX(0,'Grilles et calculs individuels'!H19*'données complémentaire'!$I18-'plafond sécu et CNAV'!$F18)*$I$53/$B19</f>
        <v>0</v>
      </c>
      <c r="M70" s="57">
        <f>MAX(0,'Grilles et calculs individuels'!I19*'données complémentaire'!$I18-'plafond sécu et CNAV'!$F18)*$I$53/$B19</f>
        <v>0</v>
      </c>
      <c r="N70" s="62" t="s">
        <v>61</v>
      </c>
    </row>
    <row r="71" spans="6:14" ht="12.75" customHeight="1">
      <c r="F71" s="6">
        <v>16</v>
      </c>
      <c r="G71" s="57">
        <f>MAX(0,'Grilles et calculs individuels'!C20*'données complémentaire'!$I19-'plafond sécu et CNAV'!$F19)*$I$53/$B20</f>
        <v>0</v>
      </c>
      <c r="H71" s="62" t="s">
        <v>61</v>
      </c>
      <c r="I71" s="62" t="s">
        <v>61</v>
      </c>
      <c r="J71" s="62" t="s">
        <v>61</v>
      </c>
      <c r="K71" s="57">
        <f>MAX(0,'Grilles et calculs individuels'!G20*'données complémentaire'!$I19-'plafond sécu et CNAV'!$F19)*$I$53/$B20</f>
        <v>0</v>
      </c>
      <c r="L71" s="57">
        <f>MAX(0,'Grilles et calculs individuels'!H20*'données complémentaire'!$I19-'plafond sécu et CNAV'!$F19)*$I$53/$B20</f>
        <v>0</v>
      </c>
      <c r="M71" s="57">
        <f>MAX(0,'Grilles et calculs individuels'!I20*'données complémentaire'!$I19-'plafond sécu et CNAV'!$F19)*$I$53/$B20</f>
        <v>0</v>
      </c>
      <c r="N71" s="62" t="s">
        <v>61</v>
      </c>
    </row>
    <row r="72" spans="6:14" ht="12.75" customHeight="1">
      <c r="F72" s="6">
        <v>17</v>
      </c>
      <c r="G72" s="57">
        <f>MAX(0,'Grilles et calculs individuels'!C21*'données complémentaire'!$I20-'plafond sécu et CNAV'!$F20)*$I$53/$B21</f>
        <v>0</v>
      </c>
      <c r="H72" s="62" t="s">
        <v>61</v>
      </c>
      <c r="I72" s="62" t="s">
        <v>61</v>
      </c>
      <c r="J72" s="62" t="s">
        <v>61</v>
      </c>
      <c r="K72" s="57">
        <f>MAX(0,'Grilles et calculs individuels'!G21*'données complémentaire'!$I20-'plafond sécu et CNAV'!$F20)*$I$53/$B21</f>
        <v>0</v>
      </c>
      <c r="L72" s="57">
        <f>MAX(0,'Grilles et calculs individuels'!H21*'données complémentaire'!$I20-'plafond sécu et CNAV'!$F20)*$I$53/$B21</f>
        <v>0</v>
      </c>
      <c r="M72" s="57">
        <f>MAX(0,'Grilles et calculs individuels'!I21*'données complémentaire'!$I20-'plafond sécu et CNAV'!$F20)*$I$53/$B21</f>
        <v>0</v>
      </c>
      <c r="N72" s="62" t="s">
        <v>61</v>
      </c>
    </row>
    <row r="73" spans="6:14" ht="12.75" customHeight="1">
      <c r="F73" s="6">
        <v>18</v>
      </c>
      <c r="G73" s="57">
        <f>MAX(0,'Grilles et calculs individuels'!C22*'données complémentaire'!$I21-'plafond sécu et CNAV'!$F21)*$I$53/$B22</f>
        <v>0</v>
      </c>
      <c r="H73" s="62" t="s">
        <v>61</v>
      </c>
      <c r="I73" s="62" t="s">
        <v>61</v>
      </c>
      <c r="J73" s="62" t="s">
        <v>61</v>
      </c>
      <c r="K73" s="57">
        <f>MAX(0,'Grilles et calculs individuels'!G22*'données complémentaire'!$I21-'plafond sécu et CNAV'!$F21)*$I$53/$B22</f>
        <v>0</v>
      </c>
      <c r="L73" s="57">
        <f>MAX(0,'Grilles et calculs individuels'!H22*'données complémentaire'!$I21-'plafond sécu et CNAV'!$F21)*$I$53/$B22</f>
        <v>0</v>
      </c>
      <c r="M73" s="57">
        <f>MAX(0,'Grilles et calculs individuels'!I22*'données complémentaire'!$I21-'plafond sécu et CNAV'!$F21)*$I$53/$B22</f>
        <v>0</v>
      </c>
      <c r="N73" s="62" t="s">
        <v>61</v>
      </c>
    </row>
    <row r="74" spans="6:14" ht="12.75" customHeight="1">
      <c r="F74" s="6">
        <v>19</v>
      </c>
      <c r="G74" s="57">
        <f>MAX(0,'Grilles et calculs individuels'!C23*'données complémentaire'!$I22-'plafond sécu et CNAV'!$F22)*$I$53/$B23</f>
        <v>0</v>
      </c>
      <c r="H74" s="62" t="s">
        <v>61</v>
      </c>
      <c r="I74" s="62" t="s">
        <v>61</v>
      </c>
      <c r="J74" s="62" t="s">
        <v>61</v>
      </c>
      <c r="K74" s="57">
        <f>MAX(0,'Grilles et calculs individuels'!G23*'données complémentaire'!$I22-'plafond sécu et CNAV'!$F22)*$I$53/$B23</f>
        <v>0</v>
      </c>
      <c r="L74" s="57">
        <f>MAX(0,'Grilles et calculs individuels'!H23*'données complémentaire'!$I22-'plafond sécu et CNAV'!$F22)*$I$53/$B23</f>
        <v>0</v>
      </c>
      <c r="M74" s="57">
        <f>MAX(0,'Grilles et calculs individuels'!I23*'données complémentaire'!$I22-'plafond sécu et CNAV'!$F22)*$I$53/$B23</f>
        <v>0</v>
      </c>
      <c r="N74" s="62" t="s">
        <v>61</v>
      </c>
    </row>
    <row r="75" spans="6:14" ht="12.75" customHeight="1">
      <c r="F75" s="6">
        <v>20</v>
      </c>
      <c r="G75" s="57">
        <f>MAX(0,'Grilles et calculs individuels'!C24*'données complémentaire'!$I23-'plafond sécu et CNAV'!$F23)*$I$53/$B24</f>
        <v>0</v>
      </c>
      <c r="H75" s="62" t="s">
        <v>61</v>
      </c>
      <c r="I75" s="62" t="s">
        <v>61</v>
      </c>
      <c r="J75" s="62" t="s">
        <v>61</v>
      </c>
      <c r="K75" s="57">
        <f>MAX(0,'Grilles et calculs individuels'!G24*'données complémentaire'!$I23-'plafond sécu et CNAV'!$F23)*$I$53/$B24</f>
        <v>0</v>
      </c>
      <c r="L75" s="57">
        <f>MAX(0,'Grilles et calculs individuels'!H24*'données complémentaire'!$I23-'plafond sécu et CNAV'!$F23)*$I$53/$B24</f>
        <v>0</v>
      </c>
      <c r="M75" s="57">
        <f>MAX(0,'Grilles et calculs individuels'!I24*'données complémentaire'!$I23-'plafond sécu et CNAV'!$F23)*$I$53/$B24</f>
        <v>0</v>
      </c>
      <c r="N75" s="62" t="s">
        <v>61</v>
      </c>
    </row>
    <row r="76" spans="6:14" ht="12.75" customHeight="1">
      <c r="F76" s="6">
        <v>21</v>
      </c>
      <c r="G76" s="57">
        <f>MAX(0,'Grilles et calculs individuels'!C25*'données complémentaire'!$I24-'plafond sécu et CNAV'!$F24)*$I$53/$B25</f>
        <v>0</v>
      </c>
      <c r="H76" s="62" t="s">
        <v>61</v>
      </c>
      <c r="I76" s="62" t="s">
        <v>61</v>
      </c>
      <c r="J76" s="62" t="s">
        <v>61</v>
      </c>
      <c r="K76" s="57">
        <f>MAX(0,'Grilles et calculs individuels'!G25*'données complémentaire'!$I24-'plafond sécu et CNAV'!$F24)*$I$53/$B25</f>
        <v>0</v>
      </c>
      <c r="L76" s="57">
        <f>MAX(0,'Grilles et calculs individuels'!H25*'données complémentaire'!$I24-'plafond sécu et CNAV'!$F24)*$I$53/$B25</f>
        <v>0</v>
      </c>
      <c r="M76" s="57">
        <f>MAX(0,'Grilles et calculs individuels'!I25*'données complémentaire'!$I24-'plafond sécu et CNAV'!$F24)*$I$53/$B25</f>
        <v>0</v>
      </c>
      <c r="N76" s="62" t="s">
        <v>61</v>
      </c>
    </row>
    <row r="77" spans="6:14" ht="12.75" customHeight="1">
      <c r="F77" s="6">
        <v>22</v>
      </c>
      <c r="G77" s="57">
        <f>MAX(0,'Grilles et calculs individuels'!C26*'données complémentaire'!$I25-'plafond sécu et CNAV'!$F25)*$I$53/$B26</f>
        <v>0</v>
      </c>
      <c r="H77" s="62" t="s">
        <v>61</v>
      </c>
      <c r="I77" s="62" t="s">
        <v>61</v>
      </c>
      <c r="J77" s="62" t="s">
        <v>61</v>
      </c>
      <c r="K77" s="57">
        <f>MAX(0,'Grilles et calculs individuels'!G26*'données complémentaire'!$I25-'plafond sécu et CNAV'!$F25)*$I$53/$B26</f>
        <v>0</v>
      </c>
      <c r="L77" s="57">
        <f>MAX(0,'Grilles et calculs individuels'!H26*'données complémentaire'!$I25-'plafond sécu et CNAV'!$F25)*$I$53/$B26</f>
        <v>0</v>
      </c>
      <c r="M77" s="57">
        <f>MAX(0,'Grilles et calculs individuels'!I26*'données complémentaire'!$I25-'plafond sécu et CNAV'!$F25)*$I$53/$B26</f>
        <v>0</v>
      </c>
      <c r="N77" s="62" t="s">
        <v>61</v>
      </c>
    </row>
    <row r="78" spans="6:14" ht="12.75" customHeight="1">
      <c r="F78" s="6">
        <v>23</v>
      </c>
      <c r="G78" s="57">
        <f>MAX(0,'Grilles et calculs individuels'!C27*'données complémentaire'!$I26-'plafond sécu et CNAV'!$F26)*$I$53/$B27</f>
        <v>0</v>
      </c>
      <c r="H78" s="62" t="s">
        <v>61</v>
      </c>
      <c r="I78" s="62" t="s">
        <v>61</v>
      </c>
      <c r="J78" s="62" t="s">
        <v>61</v>
      </c>
      <c r="K78" s="57">
        <f>MAX(0,'Grilles et calculs individuels'!G27*'données complémentaire'!$I26-'plafond sécu et CNAV'!$F26)*$I$53/$B27</f>
        <v>0</v>
      </c>
      <c r="L78" s="57">
        <f>MAX(0,'Grilles et calculs individuels'!H27*'données complémentaire'!$I26-'plafond sécu et CNAV'!$F26)*$I$53/$B27</f>
        <v>0</v>
      </c>
      <c r="M78" s="57">
        <f>MAX(0,'Grilles et calculs individuels'!I27*'données complémentaire'!$I26-'plafond sécu et CNAV'!$F26)*$I$53/$B27</f>
        <v>0</v>
      </c>
      <c r="N78" s="62" t="s">
        <v>61</v>
      </c>
    </row>
    <row r="79" spans="6:14" ht="12.75" customHeight="1">
      <c r="F79" s="6">
        <v>24</v>
      </c>
      <c r="G79" s="57">
        <f>MAX(0,'Grilles et calculs individuels'!C28*'données complémentaire'!$I27-'plafond sécu et CNAV'!$F27)*$I$53/$B28</f>
        <v>0</v>
      </c>
      <c r="H79" s="62" t="s">
        <v>61</v>
      </c>
      <c r="I79" s="62" t="s">
        <v>61</v>
      </c>
      <c r="J79" s="62" t="s">
        <v>61</v>
      </c>
      <c r="K79" s="57">
        <f>MAX(0,'Grilles et calculs individuels'!G28*'données complémentaire'!$I27-'plafond sécu et CNAV'!$F27)*$I$53/$B28</f>
        <v>0</v>
      </c>
      <c r="L79" s="57">
        <f>MAX(0,'Grilles et calculs individuels'!H28*'données complémentaire'!$I27-'plafond sécu et CNAV'!$F27)*$I$53/$B28</f>
        <v>0</v>
      </c>
      <c r="M79" s="57">
        <f>MAX(0,'Grilles et calculs individuels'!I28*'données complémentaire'!$I27-'plafond sécu et CNAV'!$F27)*$I$53/$B28</f>
        <v>0</v>
      </c>
      <c r="N79" s="62" t="s">
        <v>61</v>
      </c>
    </row>
    <row r="80" spans="6:14" ht="12.75" customHeight="1">
      <c r="F80" s="6">
        <v>25</v>
      </c>
      <c r="G80" s="57">
        <f>MAX(0,'Grilles et calculs individuels'!C29*'données complémentaire'!$I28-'plafond sécu et CNAV'!$F28)*$I$53/$B29</f>
        <v>0</v>
      </c>
      <c r="H80" s="62" t="s">
        <v>61</v>
      </c>
      <c r="I80" s="62" t="s">
        <v>61</v>
      </c>
      <c r="J80" s="62" t="s">
        <v>61</v>
      </c>
      <c r="K80" s="57">
        <f>MAX(0,'Grilles et calculs individuels'!G29*'données complémentaire'!$I28-'plafond sécu et CNAV'!$F28)*$I$53/$B29</f>
        <v>0</v>
      </c>
      <c r="L80" s="57">
        <f>MAX(0,'Grilles et calculs individuels'!H29*'données complémentaire'!$I28-'plafond sécu et CNAV'!$F28)*$I$53/$B29</f>
        <v>0</v>
      </c>
      <c r="M80" s="57">
        <f>MAX(0,'Grilles et calculs individuels'!I29*'données complémentaire'!$I28-'plafond sécu et CNAV'!$F28)*$I$53/$B29</f>
        <v>0</v>
      </c>
      <c r="N80" s="62" t="s">
        <v>61</v>
      </c>
    </row>
    <row r="81" spans="6:14" ht="12.75" customHeight="1">
      <c r="F81" s="6">
        <v>26</v>
      </c>
      <c r="G81" s="57">
        <f>MAX(0,'Grilles et calculs individuels'!C30*'données complémentaire'!$I29-'plafond sécu et CNAV'!$F29)*$I$53/$B30</f>
        <v>0</v>
      </c>
      <c r="H81" s="62" t="s">
        <v>61</v>
      </c>
      <c r="I81" s="62" t="s">
        <v>61</v>
      </c>
      <c r="J81" s="62" t="s">
        <v>61</v>
      </c>
      <c r="K81" s="57">
        <f>MAX(0,'Grilles et calculs individuels'!G30*'données complémentaire'!$I29-'plafond sécu et CNAV'!$F29)*$I$53/$B30</f>
        <v>0</v>
      </c>
      <c r="L81" s="57">
        <f>MAX(0,'Grilles et calculs individuels'!H30*'données complémentaire'!$I29-'plafond sécu et CNAV'!$F29)*$I$53/$B30</f>
        <v>0</v>
      </c>
      <c r="M81" s="57">
        <f>MAX(0,'Grilles et calculs individuels'!I30*'données complémentaire'!$I29-'plafond sécu et CNAV'!$F29)*$I$53/$B30</f>
        <v>0</v>
      </c>
      <c r="N81" s="62" t="s">
        <v>61</v>
      </c>
    </row>
    <row r="82" spans="6:14" ht="12.75" customHeight="1">
      <c r="F82" s="6">
        <v>27</v>
      </c>
      <c r="G82" s="57">
        <f>MAX(0,'Grilles et calculs individuels'!C31*'données complémentaire'!$I30-'plafond sécu et CNAV'!$F30)*$I$53/$B31</f>
        <v>0</v>
      </c>
      <c r="H82" s="62" t="s">
        <v>61</v>
      </c>
      <c r="I82" s="62" t="s">
        <v>61</v>
      </c>
      <c r="J82" s="62" t="s">
        <v>61</v>
      </c>
      <c r="K82" s="57">
        <f>MAX(0,'Grilles et calculs individuels'!G31*'données complémentaire'!$I30-'plafond sécu et CNAV'!$F30)*$I$53/$B31</f>
        <v>0</v>
      </c>
      <c r="L82" s="57">
        <f>MAX(0,'Grilles et calculs individuels'!H31*'données complémentaire'!$I30-'plafond sécu et CNAV'!$F30)*$I$53/$B31</f>
        <v>0</v>
      </c>
      <c r="M82" s="57">
        <f>MAX(0,'Grilles et calculs individuels'!I31*'données complémentaire'!$I30-'plafond sécu et CNAV'!$F30)*$I$53/$B31</f>
        <v>0</v>
      </c>
      <c r="N82" s="62" t="s">
        <v>61</v>
      </c>
    </row>
    <row r="83" spans="6:14" ht="12.75" customHeight="1">
      <c r="F83" s="6">
        <v>28</v>
      </c>
      <c r="G83" s="57">
        <f>MAX(0,'Grilles et calculs individuels'!C32*'données complémentaire'!$I31-'plafond sécu et CNAV'!$F31)*$I$53/$B32</f>
        <v>0</v>
      </c>
      <c r="H83" s="62" t="s">
        <v>61</v>
      </c>
      <c r="I83" s="62" t="s">
        <v>61</v>
      </c>
      <c r="J83" s="62" t="s">
        <v>61</v>
      </c>
      <c r="K83" s="57">
        <f>MAX(0,'Grilles et calculs individuels'!G32*'données complémentaire'!$I31-'plafond sécu et CNAV'!$F31)*$I$53/$B32</f>
        <v>0</v>
      </c>
      <c r="L83" s="57">
        <f>MAX(0,'Grilles et calculs individuels'!H32*'données complémentaire'!$I31-'plafond sécu et CNAV'!$F31)*$I$53/$B32</f>
        <v>0</v>
      </c>
      <c r="M83" s="57">
        <f>MAX(0,'Grilles et calculs individuels'!I32*'données complémentaire'!$I31-'plafond sécu et CNAV'!$F31)*$I$53/$B32</f>
        <v>0</v>
      </c>
      <c r="N83" s="62" t="s">
        <v>61</v>
      </c>
    </row>
    <row r="84" spans="6:14" ht="12.75" customHeight="1">
      <c r="F84" s="6">
        <v>29</v>
      </c>
      <c r="G84" s="57">
        <f>MAX(0,'Grilles et calculs individuels'!C33*'données complémentaire'!$I32-'plafond sécu et CNAV'!$F32)*$I$53/$B33</f>
        <v>0</v>
      </c>
      <c r="H84" s="62" t="s">
        <v>61</v>
      </c>
      <c r="I84" s="62" t="s">
        <v>61</v>
      </c>
      <c r="J84" s="62" t="s">
        <v>61</v>
      </c>
      <c r="K84" s="57">
        <f>MAX(0,'Grilles et calculs individuels'!G33*'données complémentaire'!$I32-'plafond sécu et CNAV'!$F32)*$I$53/$B33</f>
        <v>0</v>
      </c>
      <c r="L84" s="57">
        <f>MAX(0,'Grilles et calculs individuels'!H33*'données complémentaire'!$I32-'plafond sécu et CNAV'!$F32)*$I$53/$B33</f>
        <v>0</v>
      </c>
      <c r="M84" s="57">
        <f>MAX(0,'Grilles et calculs individuels'!I33*'données complémentaire'!$I32-'plafond sécu et CNAV'!$F32)*$I$53/$B33</f>
        <v>0</v>
      </c>
      <c r="N84" s="62" t="s">
        <v>61</v>
      </c>
    </row>
    <row r="85" spans="6:14" ht="12.75" customHeight="1">
      <c r="F85" s="6">
        <v>30</v>
      </c>
      <c r="G85" s="57">
        <f>MAX(0,'Grilles et calculs individuels'!C34*'données complémentaire'!$I33-'plafond sécu et CNAV'!$F33)*$I$53/$B34</f>
        <v>0</v>
      </c>
      <c r="H85" s="62" t="s">
        <v>61</v>
      </c>
      <c r="I85" s="62" t="s">
        <v>61</v>
      </c>
      <c r="J85" s="62" t="s">
        <v>61</v>
      </c>
      <c r="K85" s="57">
        <f>MAX(0,'Grilles et calculs individuels'!G34*'données complémentaire'!$I33-'plafond sécu et CNAV'!$F33)*$I$53/$B34</f>
        <v>0</v>
      </c>
      <c r="L85" s="57">
        <f>MAX(0,'Grilles et calculs individuels'!H34*'données complémentaire'!$I33-'plafond sécu et CNAV'!$F33)*$I$53/$B34</f>
        <v>0</v>
      </c>
      <c r="M85" s="57">
        <f>MAX(0,'Grilles et calculs individuels'!I34*'données complémentaire'!$I33-'plafond sécu et CNAV'!$F33)*$I$53/$B34</f>
        <v>0</v>
      </c>
      <c r="N85" s="62" t="s">
        <v>61</v>
      </c>
    </row>
    <row r="86" spans="6:14" ht="12.75" customHeight="1">
      <c r="F86" s="6">
        <v>31</v>
      </c>
      <c r="G86" s="57">
        <f>MAX(0,'Grilles et calculs individuels'!C35*'données complémentaire'!$I34-'plafond sécu et CNAV'!$F34)*$I$53/$B35</f>
        <v>0</v>
      </c>
      <c r="H86" s="62" t="s">
        <v>61</v>
      </c>
      <c r="I86" s="62" t="s">
        <v>61</v>
      </c>
      <c r="J86" s="62" t="s">
        <v>61</v>
      </c>
      <c r="K86" s="57">
        <f>MAX(0,'Grilles et calculs individuels'!G35*'données complémentaire'!$I34-'plafond sécu et CNAV'!$F34)*$I$53/$B35</f>
        <v>0</v>
      </c>
      <c r="L86" s="57">
        <f>MAX(0,'Grilles et calculs individuels'!H35*'données complémentaire'!$I34-'plafond sécu et CNAV'!$F34)*$I$53/$B35</f>
        <v>0</v>
      </c>
      <c r="M86" s="57">
        <f>MAX(0,'Grilles et calculs individuels'!I35*'données complémentaire'!$I34-'plafond sécu et CNAV'!$F34)*$I$53/$B35</f>
        <v>0</v>
      </c>
      <c r="N86" s="62" t="s">
        <v>61</v>
      </c>
    </row>
    <row r="87" spans="6:14" ht="12.75" customHeight="1">
      <c r="F87" s="6">
        <v>32</v>
      </c>
      <c r="G87" s="57">
        <f>MAX(0,'Grilles et calculs individuels'!C36*'données complémentaire'!$I35-'plafond sécu et CNAV'!$F35)*$I$53/$B36</f>
        <v>0</v>
      </c>
      <c r="H87" s="62" t="s">
        <v>61</v>
      </c>
      <c r="I87" s="62" t="s">
        <v>61</v>
      </c>
      <c r="J87" s="62" t="s">
        <v>61</v>
      </c>
      <c r="K87" s="57">
        <f>MAX(0,'Grilles et calculs individuels'!G36*'données complémentaire'!$I35-'plafond sécu et CNAV'!$F35)*$I$53/$B36</f>
        <v>0</v>
      </c>
      <c r="L87" s="57">
        <f>MAX(0,'Grilles et calculs individuels'!H36*'données complémentaire'!$I35-'plafond sécu et CNAV'!$F35)*$I$53/$B36</f>
        <v>0</v>
      </c>
      <c r="M87" s="57">
        <f>MAX(0,'Grilles et calculs individuels'!I36*'données complémentaire'!$I35-'plafond sécu et CNAV'!$F35)*$I$53/$B36</f>
        <v>0</v>
      </c>
      <c r="N87" s="62" t="s">
        <v>61</v>
      </c>
    </row>
    <row r="88" spans="6:14" ht="12.75" customHeight="1">
      <c r="F88" s="6">
        <v>33</v>
      </c>
      <c r="G88" s="57">
        <f>MAX(0,'Grilles et calculs individuels'!C37*'données complémentaire'!$I36-'plafond sécu et CNAV'!$F36)*$I$53/$B37</f>
        <v>0</v>
      </c>
      <c r="H88" s="62" t="s">
        <v>61</v>
      </c>
      <c r="I88" s="62" t="s">
        <v>61</v>
      </c>
      <c r="J88" s="62" t="s">
        <v>61</v>
      </c>
      <c r="K88" s="57">
        <f>MAX(0,'Grilles et calculs individuels'!G37*'données complémentaire'!$I36-'plafond sécu et CNAV'!$F36)*$I$53/$B37</f>
        <v>0</v>
      </c>
      <c r="L88" s="57">
        <f>MAX(0,'Grilles et calculs individuels'!H37*'données complémentaire'!$I36-'plafond sécu et CNAV'!$F36)*$I$53/$B37</f>
        <v>0</v>
      </c>
      <c r="M88" s="57">
        <f>MAX(0,'Grilles et calculs individuels'!I37*'données complémentaire'!$I36-'plafond sécu et CNAV'!$F36)*$I$53/$B37</f>
        <v>0</v>
      </c>
      <c r="N88" s="62" t="s">
        <v>61</v>
      </c>
    </row>
    <row r="89" spans="6:14" ht="12.75" customHeight="1">
      <c r="F89" s="6">
        <v>34</v>
      </c>
      <c r="G89" s="57">
        <f>MAX(0,'Grilles et calculs individuels'!C38*'données complémentaire'!$I37-'plafond sécu et CNAV'!$F37)*$I$53/$B38</f>
        <v>0</v>
      </c>
      <c r="H89" s="62" t="s">
        <v>61</v>
      </c>
      <c r="I89" s="62" t="s">
        <v>61</v>
      </c>
      <c r="J89" s="62" t="s">
        <v>61</v>
      </c>
      <c r="K89" s="57">
        <f>MAX(0,'Grilles et calculs individuels'!G38*'données complémentaire'!$I37-'plafond sécu et CNAV'!$F37)*$I$53/$B38</f>
        <v>0</v>
      </c>
      <c r="L89" s="57">
        <f>MAX(0,'Grilles et calculs individuels'!H38*'données complémentaire'!$I37-'plafond sécu et CNAV'!$F37)*$I$53/$B38</f>
        <v>0</v>
      </c>
      <c r="M89" s="57">
        <f>MAX(0,'Grilles et calculs individuels'!I38*'données complémentaire'!$I37-'plafond sécu et CNAV'!$F37)*$I$53/$B38</f>
        <v>0</v>
      </c>
      <c r="N89" s="62" t="s">
        <v>61</v>
      </c>
    </row>
    <row r="90" spans="6:14" ht="12.75" customHeight="1">
      <c r="F90" s="6">
        <v>35</v>
      </c>
      <c r="G90" s="57">
        <f>MAX(0,'Grilles et calculs individuels'!C39*'données complémentaire'!$I38-'plafond sécu et CNAV'!$F38)*$I$53/$B39</f>
        <v>0</v>
      </c>
      <c r="H90" s="62" t="s">
        <v>61</v>
      </c>
      <c r="I90" s="62" t="s">
        <v>61</v>
      </c>
      <c r="J90" s="62" t="s">
        <v>61</v>
      </c>
      <c r="K90" s="57">
        <f>MAX(0,'Grilles et calculs individuels'!G39*'données complémentaire'!$I38-'plafond sécu et CNAV'!$F38)*$I$53/$B39</f>
        <v>0</v>
      </c>
      <c r="L90" s="57">
        <f>MAX(0,'Grilles et calculs individuels'!H39*'données complémentaire'!$I38-'plafond sécu et CNAV'!$F38)*$I$53/$B39</f>
        <v>0</v>
      </c>
      <c r="M90" s="57">
        <f>MAX(0,'Grilles et calculs individuels'!I39*'données complémentaire'!$I38-'plafond sécu et CNAV'!$F38)*$I$53/$B39</f>
        <v>0</v>
      </c>
      <c r="N90" s="62" t="s">
        <v>61</v>
      </c>
    </row>
    <row r="91" spans="6:14" ht="12.75" customHeight="1">
      <c r="F91" s="6">
        <v>36</v>
      </c>
      <c r="G91" s="57">
        <f>MAX(0,'Grilles et calculs individuels'!C40*'données complémentaire'!$I39-'plafond sécu et CNAV'!$F39)*$I$53/$B40</f>
        <v>0</v>
      </c>
      <c r="H91" s="62" t="s">
        <v>61</v>
      </c>
      <c r="I91" s="62" t="s">
        <v>61</v>
      </c>
      <c r="J91" s="62" t="s">
        <v>61</v>
      </c>
      <c r="K91" s="57">
        <f>MAX(0,'Grilles et calculs individuels'!G40*'données complémentaire'!$I39-'plafond sécu et CNAV'!$F39)*$I$53/$B40</f>
        <v>0</v>
      </c>
      <c r="L91" s="57">
        <f>MAX(0,'Grilles et calculs individuels'!H40*'données complémentaire'!$I39-'plafond sécu et CNAV'!$F39)*$I$53/$B40</f>
        <v>0</v>
      </c>
      <c r="M91" s="57">
        <f>MAX(0,'Grilles et calculs individuels'!I40*'données complémentaire'!$I39-'plafond sécu et CNAV'!$F39)*$I$53/$B40</f>
        <v>0</v>
      </c>
      <c r="N91" s="62" t="s">
        <v>61</v>
      </c>
    </row>
    <row r="92" spans="6:14" ht="12.75" customHeight="1">
      <c r="F92" s="6">
        <v>37</v>
      </c>
      <c r="G92" s="57">
        <f>MAX(0,'Grilles et calculs individuels'!C41*'données complémentaire'!$I40-'plafond sécu et CNAV'!$F40)*$I$53/$B41</f>
        <v>0</v>
      </c>
      <c r="H92" s="62" t="s">
        <v>61</v>
      </c>
      <c r="I92" s="62" t="s">
        <v>61</v>
      </c>
      <c r="J92" s="62" t="s">
        <v>61</v>
      </c>
      <c r="K92" s="57">
        <f>MAX(0,'Grilles et calculs individuels'!G41*'données complémentaire'!$I40-'plafond sécu et CNAV'!$F40)*$I$53/$B41</f>
        <v>0</v>
      </c>
      <c r="L92" s="57">
        <f>MAX(0,'Grilles et calculs individuels'!H41*'données complémentaire'!$I40-'plafond sécu et CNAV'!$F40)*$I$53/$B41</f>
        <v>0</v>
      </c>
      <c r="M92" s="57">
        <f>MAX(0,'Grilles et calculs individuels'!I41*'données complémentaire'!$I40-'plafond sécu et CNAV'!$F40)*$I$53/$B41</f>
        <v>0</v>
      </c>
      <c r="N92" s="62" t="s">
        <v>61</v>
      </c>
    </row>
    <row r="93" spans="6:14" ht="12.75" customHeight="1">
      <c r="F93" s="6">
        <v>38</v>
      </c>
      <c r="G93" s="57">
        <f>MAX(0,'Grilles et calculs individuels'!C42*'données complémentaire'!$I41-'plafond sécu et CNAV'!$F41)*$I$53/$B42</f>
        <v>0</v>
      </c>
      <c r="H93" s="62" t="s">
        <v>61</v>
      </c>
      <c r="I93" s="62" t="s">
        <v>61</v>
      </c>
      <c r="J93" s="62" t="s">
        <v>61</v>
      </c>
      <c r="K93" s="57">
        <f>MAX(0,'Grilles et calculs individuels'!G42*'données complémentaire'!$I41-'plafond sécu et CNAV'!$F41)*$I$53/$B42</f>
        <v>0</v>
      </c>
      <c r="L93" s="57">
        <f>MAX(0,'Grilles et calculs individuels'!H42*'données complémentaire'!$I41-'plafond sécu et CNAV'!$F41)*$I$53/$B42</f>
        <v>0</v>
      </c>
      <c r="M93" s="57">
        <f>MAX(0,'Grilles et calculs individuels'!I42*'données complémentaire'!$I41-'plafond sécu et CNAV'!$F41)*$I$53/$B42</f>
        <v>0</v>
      </c>
      <c r="N93" s="62" t="s">
        <v>61</v>
      </c>
    </row>
    <row r="94" spans="6:14" ht="12.75" customHeight="1">
      <c r="F94" s="6">
        <v>39</v>
      </c>
      <c r="G94" s="57">
        <f>MAX(0,'Grilles et calculs individuels'!C43*'données complémentaire'!$I42-'plafond sécu et CNAV'!$F42)*$I$53/$B43</f>
        <v>0</v>
      </c>
      <c r="H94" s="62" t="s">
        <v>61</v>
      </c>
      <c r="I94" s="62" t="s">
        <v>61</v>
      </c>
      <c r="J94" s="62" t="s">
        <v>61</v>
      </c>
      <c r="K94" s="57">
        <f>MAX(0,'Grilles et calculs individuels'!G43*'données complémentaire'!$I42-'plafond sécu et CNAV'!$F42)*$I$53/$B43</f>
        <v>0</v>
      </c>
      <c r="L94" s="57">
        <f>MAX(0,'Grilles et calculs individuels'!H43*'données complémentaire'!$I42-'plafond sécu et CNAV'!$F42)*$I$53/$B43</f>
        <v>0</v>
      </c>
      <c r="M94" s="57">
        <f>MAX(0,'Grilles et calculs individuels'!I43*'données complémentaire'!$I42-'plafond sécu et CNAV'!$F42)*$I$53/$B43</f>
        <v>0</v>
      </c>
      <c r="N94" s="62" t="s">
        <v>61</v>
      </c>
    </row>
    <row r="95" spans="6:13" ht="12.75" customHeight="1">
      <c r="F95" s="6">
        <v>40</v>
      </c>
      <c r="G95" s="57">
        <f>MAX(0,'Grilles et calculs individuels'!C44*'données complémentaire'!$I43-'plafond sécu et CNAV'!$F43)*$I$53/$B44</f>
        <v>0.17272457661553037</v>
      </c>
      <c r="H95" s="62" t="s">
        <v>61</v>
      </c>
      <c r="I95" s="62" t="s">
        <v>61</v>
      </c>
      <c r="J95" s="62" t="s">
        <v>61</v>
      </c>
      <c r="K95" s="57">
        <f>MAX(0,'Grilles et calculs individuels'!G44*'données complémentaire'!$I43-'plafond sécu et CNAV'!$F43)*$I$53/$B44</f>
        <v>0</v>
      </c>
      <c r="L95" s="57">
        <f>MAX(0,'Grilles et calculs individuels'!H44*'données complémentaire'!$I43-'plafond sécu et CNAV'!$F43)*$I$53/$B44</f>
        <v>0</v>
      </c>
      <c r="M95" s="57">
        <f>MAX(0,'Grilles et calculs individuels'!I44*'données complémentaire'!$I43-'plafond sécu et CNAV'!$F43)*$I$53/$B44</f>
        <v>0</v>
      </c>
    </row>
    <row r="96" spans="6:13" ht="12.75" customHeight="1">
      <c r="F96" s="6">
        <v>41</v>
      </c>
      <c r="G96" s="57">
        <f>MAX(0,'Grilles et calculs individuels'!C45*'données complémentaire'!$I44-'plafond sécu et CNAV'!$F44)*$I$53/$B45</f>
        <v>0</v>
      </c>
      <c r="H96" s="62" t="s">
        <v>61</v>
      </c>
      <c r="I96" s="62" t="s">
        <v>61</v>
      </c>
      <c r="J96" s="62" t="s">
        <v>61</v>
      </c>
      <c r="K96" s="57">
        <f>MAX(0,'Grilles et calculs individuels'!G45*'données complémentaire'!$I44-'plafond sécu et CNAV'!$F44)*$I$53/$B45</f>
        <v>0</v>
      </c>
      <c r="L96" s="57">
        <f>MAX(0,'Grilles et calculs individuels'!H45*'données complémentaire'!$I44-'plafond sécu et CNAV'!$F44)*$I$53/$B45</f>
        <v>0</v>
      </c>
      <c r="M96" s="57">
        <f>MAX(0,'Grilles et calculs individuels'!I45*'données complémentaire'!$I44-'plafond sécu et CNAV'!$F44)*$I$53/$B45</f>
        <v>0</v>
      </c>
    </row>
    <row r="97" spans="6:14" ht="12.75" customHeight="1">
      <c r="F97" s="3" t="s">
        <v>84</v>
      </c>
      <c r="G97" s="61">
        <f>SUM(G55:G94)</f>
        <v>0</v>
      </c>
      <c r="H97" s="61">
        <v>0</v>
      </c>
      <c r="I97" s="61">
        <f>SUM(I55:I94)</f>
        <v>0</v>
      </c>
      <c r="J97" s="61">
        <f>SUM(J55:J94)</f>
        <v>0</v>
      </c>
      <c r="K97" s="61">
        <f>SUM(K55:K94)</f>
        <v>0</v>
      </c>
      <c r="L97" s="61">
        <f>SUM(L55:L94)</f>
        <v>0</v>
      </c>
      <c r="M97" s="61">
        <f>SUM(M55:M94)</f>
        <v>0</v>
      </c>
      <c r="N97" s="61">
        <f>SUM(N55:N94)</f>
        <v>0</v>
      </c>
    </row>
    <row r="98" spans="6:14" ht="12.75" customHeight="1">
      <c r="F98" s="3" t="s">
        <v>85</v>
      </c>
      <c r="G98" s="61">
        <f>G46+G97</f>
        <v>463.4046669038876</v>
      </c>
      <c r="H98" s="61">
        <f>H46+H97</f>
        <v>520.7934570517991</v>
      </c>
      <c r="I98" s="61">
        <f>I46+I97</f>
        <v>510.90674145485525</v>
      </c>
      <c r="J98" s="61">
        <f>J46+J97</f>
        <v>510.4205505934248</v>
      </c>
      <c r="K98" s="61">
        <f>K46+K97</f>
        <v>398.78242632472904</v>
      </c>
      <c r="L98" s="61">
        <f>L46+L97</f>
        <v>398.78242632472904</v>
      </c>
      <c r="M98" s="61">
        <f>M46+M97</f>
        <v>327.0604176277933</v>
      </c>
      <c r="N98" s="61">
        <f>N46+N97</f>
        <v>446.26422945268433</v>
      </c>
    </row>
    <row r="99" spans="6:14" ht="12.75" customHeight="1">
      <c r="F99" s="3" t="s">
        <v>86</v>
      </c>
      <c r="G99" s="61">
        <f>G98*$D$4</f>
        <v>579.8582596968346</v>
      </c>
      <c r="H99" s="61">
        <f>H98*$D$4</f>
        <v>651.6688528089163</v>
      </c>
      <c r="I99" s="61">
        <f>I98*$D$4</f>
        <v>639.2976055824604</v>
      </c>
      <c r="J99" s="61">
        <f>J98*$D$4</f>
        <v>638.6892349575526</v>
      </c>
      <c r="K99" s="61">
        <f>K98*$D$4</f>
        <v>498.9964500601335</v>
      </c>
      <c r="L99" s="61">
        <f>L98*$D$4</f>
        <v>498.9964500601335</v>
      </c>
      <c r="M99" s="61">
        <f>M98*$D$4</f>
        <v>409.25070057765777</v>
      </c>
      <c r="N99" s="61">
        <f>N98*$D$4</f>
        <v>558.4104303141439</v>
      </c>
    </row>
  </sheetData>
  <sheetProtection password="9CD6" sheet="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J34"/>
  <sheetViews>
    <sheetView tabSelected="1" workbookViewId="0" topLeftCell="A19">
      <selection activeCell="F35" sqref="F35"/>
    </sheetView>
  </sheetViews>
  <sheetFormatPr defaultColWidth="11.421875" defaultRowHeight="12.75" customHeight="1"/>
  <cols>
    <col min="1" max="2" width="11.57421875" style="0" customWidth="1"/>
    <col min="3" max="3" width="25.57421875" style="0" customWidth="1"/>
    <col min="4" max="4" width="17.7109375" style="0" customWidth="1"/>
    <col min="5" max="5" width="11.57421875" style="0" customWidth="1"/>
    <col min="6" max="6" width="18.140625" style="34" customWidth="1"/>
    <col min="7" max="7" width="24.7109375" style="0" customWidth="1"/>
    <col min="8" max="8" width="27.140625" style="0" customWidth="1"/>
    <col min="9" max="9" width="28.8515625" style="0" customWidth="1"/>
    <col min="10" max="10" width="16.8515625" style="0" customWidth="1"/>
    <col min="11" max="16384" width="11.57421875" style="0" customWidth="1"/>
  </cols>
  <sheetData>
    <row r="1" spans="7:10" ht="14.25" customHeight="1">
      <c r="G1">
        <v>5</v>
      </c>
      <c r="H1">
        <v>10</v>
      </c>
      <c r="I1">
        <v>14</v>
      </c>
      <c r="J1">
        <v>20</v>
      </c>
    </row>
    <row r="2" spans="1:10" ht="14.25" customHeight="1">
      <c r="A2" t="s">
        <v>87</v>
      </c>
      <c r="B2" s="63" t="s">
        <v>45</v>
      </c>
      <c r="C2" s="64" t="s">
        <v>88</v>
      </c>
      <c r="D2" s="64" t="s">
        <v>89</v>
      </c>
      <c r="E2" s="64" t="s">
        <v>90</v>
      </c>
      <c r="F2" s="65" t="s">
        <v>91</v>
      </c>
      <c r="G2" s="66" t="s">
        <v>92</v>
      </c>
      <c r="H2" s="66" t="s">
        <v>93</v>
      </c>
      <c r="I2" s="66" t="s">
        <v>94</v>
      </c>
      <c r="J2" s="66" t="s">
        <v>95</v>
      </c>
    </row>
    <row r="3" spans="1:10" ht="14.25" customHeight="1">
      <c r="A3">
        <v>1</v>
      </c>
      <c r="B3" s="10">
        <v>2014</v>
      </c>
      <c r="C3" s="67">
        <v>55000</v>
      </c>
      <c r="D3" s="68">
        <v>0.015</v>
      </c>
      <c r="E3" s="11">
        <f aca="true" t="shared" si="0" ref="E3:E29">SUM($C$3:C3)</f>
        <v>55000</v>
      </c>
      <c r="F3" s="69">
        <f aca="true" t="shared" si="1" ref="F3:F29">E3*$C$34</f>
        <v>242372507.18694592</v>
      </c>
      <c r="G3" s="70">
        <f>$C3*$C$34*$A3/G1</f>
        <v>48474501.43738918</v>
      </c>
      <c r="H3" s="70">
        <f>$C3*$C$34*$A3/H1</f>
        <v>24237250.71869459</v>
      </c>
      <c r="I3" s="70">
        <f>$C3*$C$34*$A3/I1</f>
        <v>17312321.94192471</v>
      </c>
      <c r="J3" s="70">
        <f>$C3*$C$34*$A3/J1</f>
        <v>12118625.359347295</v>
      </c>
    </row>
    <row r="4" spans="1:10" ht="14.25" customHeight="1">
      <c r="A4">
        <v>2</v>
      </c>
      <c r="B4" s="10">
        <v>2015</v>
      </c>
      <c r="C4" s="67">
        <f aca="true" t="shared" si="2" ref="C4:C29">C3*(1+D3)</f>
        <v>55824.99999999999</v>
      </c>
      <c r="D4" s="68">
        <v>0.015</v>
      </c>
      <c r="E4" s="11">
        <f t="shared" si="0"/>
        <v>110825</v>
      </c>
      <c r="F4" s="69">
        <f t="shared" si="1"/>
        <v>488380601.981696</v>
      </c>
      <c r="G4" s="70">
        <f aca="true" t="shared" si="3" ref="G4:G29">$C4*$C$34*(1/G$1)*MIN(G$1,$A4)+G3</f>
        <v>146877739.35528922</v>
      </c>
      <c r="H4" s="70">
        <f aca="true" t="shared" si="4" ref="H4:H29">$C4*$C$34*(1/H$1)*MIN(H$1,$A4)+H3</f>
        <v>73438869.67764461</v>
      </c>
      <c r="I4" s="70">
        <f aca="true" t="shared" si="5" ref="I4:I29">$C4*$C$34*(1/I$1)*MIN(I$1,$A4)+I3</f>
        <v>52456335.484031856</v>
      </c>
      <c r="J4" s="70">
        <f aca="true" t="shared" si="6" ref="J4:J29">$C4*$C$34*(1/J$1)*MIN(J$1,$A4)+J3</f>
        <v>36719434.838822305</v>
      </c>
    </row>
    <row r="5" spans="1:10" ht="14.25" customHeight="1">
      <c r="A5">
        <v>3</v>
      </c>
      <c r="B5" s="10">
        <v>2016</v>
      </c>
      <c r="C5" s="67">
        <f t="shared" si="2"/>
        <v>56662.374999999985</v>
      </c>
      <c r="D5" s="68">
        <v>0.015</v>
      </c>
      <c r="E5" s="11">
        <f t="shared" si="0"/>
        <v>167487.375</v>
      </c>
      <c r="F5" s="69">
        <f t="shared" si="1"/>
        <v>738078818.1983674</v>
      </c>
      <c r="G5" s="70">
        <f t="shared" si="3"/>
        <v>296696669.085292</v>
      </c>
      <c r="H5" s="70">
        <f t="shared" si="4"/>
        <v>148348334.542646</v>
      </c>
      <c r="I5" s="70">
        <f t="shared" si="5"/>
        <v>105963096.10188998</v>
      </c>
      <c r="J5" s="70">
        <f t="shared" si="6"/>
        <v>74174167.271323</v>
      </c>
    </row>
    <row r="6" spans="1:10" ht="14.25" customHeight="1">
      <c r="A6">
        <v>4</v>
      </c>
      <c r="B6" s="10">
        <v>2017</v>
      </c>
      <c r="C6" s="67">
        <f t="shared" si="2"/>
        <v>57512.31062499998</v>
      </c>
      <c r="D6" s="68">
        <v>0.015</v>
      </c>
      <c r="E6" s="11">
        <f t="shared" si="0"/>
        <v>224999.68562499998</v>
      </c>
      <c r="F6" s="69">
        <f t="shared" si="1"/>
        <v>991522507.6582887</v>
      </c>
      <c r="G6" s="70">
        <f t="shared" si="3"/>
        <v>499451620.65322906</v>
      </c>
      <c r="H6" s="70">
        <f t="shared" si="4"/>
        <v>249725810.32661453</v>
      </c>
      <c r="I6" s="70">
        <f t="shared" si="5"/>
        <v>178375578.80472463</v>
      </c>
      <c r="J6" s="70">
        <f t="shared" si="6"/>
        <v>124862905.16330726</v>
      </c>
    </row>
    <row r="7" spans="1:10" ht="14.25" customHeight="1">
      <c r="A7">
        <v>5</v>
      </c>
      <c r="B7" s="10">
        <v>2018</v>
      </c>
      <c r="C7" s="67">
        <f t="shared" si="2"/>
        <v>58374.99528437497</v>
      </c>
      <c r="D7" s="68">
        <v>0.015</v>
      </c>
      <c r="E7" s="11">
        <f t="shared" si="0"/>
        <v>283374.68090937496</v>
      </c>
      <c r="F7" s="69">
        <f t="shared" si="1"/>
        <v>1248767852.4601088</v>
      </c>
      <c r="G7" s="70">
        <f t="shared" si="3"/>
        <v>756696965.4550492</v>
      </c>
      <c r="H7" s="70">
        <f t="shared" si="4"/>
        <v>378348482.7275246</v>
      </c>
      <c r="I7" s="70">
        <f t="shared" si="5"/>
        <v>270248916.2339461</v>
      </c>
      <c r="J7" s="70">
        <f t="shared" si="6"/>
        <v>189174241.3637623</v>
      </c>
    </row>
    <row r="8" spans="1:10" ht="14.25" customHeight="1">
      <c r="A8">
        <v>6</v>
      </c>
      <c r="B8" s="10">
        <v>2019</v>
      </c>
      <c r="C8" s="67">
        <f t="shared" si="2"/>
        <v>59250.62021364059</v>
      </c>
      <c r="D8" s="68">
        <v>0.015</v>
      </c>
      <c r="E8" s="11">
        <f t="shared" si="0"/>
        <v>342625.3011230156</v>
      </c>
      <c r="F8" s="69">
        <f t="shared" si="1"/>
        <v>1509871877.4339564</v>
      </c>
      <c r="G8" s="70">
        <f t="shared" si="3"/>
        <v>1017800990.4288965</v>
      </c>
      <c r="H8" s="70">
        <f t="shared" si="4"/>
        <v>535010897.711833</v>
      </c>
      <c r="I8" s="70">
        <f t="shared" si="5"/>
        <v>382150641.2227378</v>
      </c>
      <c r="J8" s="70">
        <f t="shared" si="6"/>
        <v>267505448.8559165</v>
      </c>
    </row>
    <row r="9" spans="1:10" ht="14.25" customHeight="1">
      <c r="A9">
        <v>7</v>
      </c>
      <c r="B9" s="10">
        <v>2020</v>
      </c>
      <c r="C9" s="67">
        <f t="shared" si="2"/>
        <v>60139.3795168452</v>
      </c>
      <c r="D9" s="68">
        <v>0.015</v>
      </c>
      <c r="E9" s="11">
        <f t="shared" si="0"/>
        <v>402764.6806398608</v>
      </c>
      <c r="F9" s="69">
        <f t="shared" si="1"/>
        <v>1774892462.7824116</v>
      </c>
      <c r="G9" s="70">
        <f t="shared" si="3"/>
        <v>1282821575.7773516</v>
      </c>
      <c r="H9" s="70">
        <f t="shared" si="4"/>
        <v>720525307.4557517</v>
      </c>
      <c r="I9" s="70">
        <f t="shared" si="5"/>
        <v>514660933.8969653</v>
      </c>
      <c r="J9" s="70">
        <f t="shared" si="6"/>
        <v>360262653.7278758</v>
      </c>
    </row>
    <row r="10" spans="1:10" ht="14.25" customHeight="1">
      <c r="A10">
        <v>8</v>
      </c>
      <c r="B10" s="10">
        <v>2021</v>
      </c>
      <c r="C10" s="67">
        <f t="shared" si="2"/>
        <v>61041.47020959787</v>
      </c>
      <c r="D10" s="68">
        <v>0.007</v>
      </c>
      <c r="E10" s="11">
        <f t="shared" si="0"/>
        <v>463806.15084945865</v>
      </c>
      <c r="F10" s="69">
        <f t="shared" si="1"/>
        <v>2043888356.9110932</v>
      </c>
      <c r="G10" s="70">
        <f t="shared" si="3"/>
        <v>1551817469.9060335</v>
      </c>
      <c r="H10" s="70">
        <f t="shared" si="4"/>
        <v>935722022.7586972</v>
      </c>
      <c r="I10" s="70">
        <f t="shared" si="5"/>
        <v>668372873.3990693</v>
      </c>
      <c r="J10" s="70">
        <f t="shared" si="6"/>
        <v>467861011.3793486</v>
      </c>
    </row>
    <row r="11" spans="1:10" ht="14.25" customHeight="1">
      <c r="A11">
        <v>9</v>
      </c>
      <c r="B11" s="10">
        <v>2022</v>
      </c>
      <c r="C11" s="67">
        <f t="shared" si="2"/>
        <v>61468.76050106505</v>
      </c>
      <c r="D11" s="68">
        <v>0.007</v>
      </c>
      <c r="E11" s="11">
        <f t="shared" si="0"/>
        <v>525274.9113505237</v>
      </c>
      <c r="F11" s="69">
        <f t="shared" si="1"/>
        <v>2314767222.298676</v>
      </c>
      <c r="G11" s="70">
        <f t="shared" si="3"/>
        <v>1822696335.2936163</v>
      </c>
      <c r="H11" s="70">
        <f t="shared" si="4"/>
        <v>1179513001.6075215</v>
      </c>
      <c r="I11" s="70">
        <f t="shared" si="5"/>
        <v>842509286.8625152</v>
      </c>
      <c r="J11" s="70">
        <f t="shared" si="6"/>
        <v>589756500.8037608</v>
      </c>
    </row>
    <row r="12" spans="1:10" ht="14.25" customHeight="1">
      <c r="A12">
        <v>10</v>
      </c>
      <c r="B12" s="10">
        <v>2023</v>
      </c>
      <c r="C12" s="67">
        <f t="shared" si="2"/>
        <v>61899.0418245725</v>
      </c>
      <c r="D12" s="68">
        <v>0.007</v>
      </c>
      <c r="E12" s="11">
        <f t="shared" si="0"/>
        <v>587173.9531750962</v>
      </c>
      <c r="F12" s="69">
        <f t="shared" si="1"/>
        <v>2587542239.743972</v>
      </c>
      <c r="G12" s="70">
        <f t="shared" si="3"/>
        <v>2095471352.738912</v>
      </c>
      <c r="H12" s="70">
        <f t="shared" si="4"/>
        <v>1452288019.0528173</v>
      </c>
      <c r="I12" s="70">
        <f t="shared" si="5"/>
        <v>1037348585.0377264</v>
      </c>
      <c r="J12" s="70">
        <f t="shared" si="6"/>
        <v>726144009.5264087</v>
      </c>
    </row>
    <row r="13" spans="1:10" ht="14.25" customHeight="1">
      <c r="A13">
        <v>11</v>
      </c>
      <c r="B13" s="10">
        <v>2024</v>
      </c>
      <c r="C13" s="67">
        <f t="shared" si="2"/>
        <v>62332.335117344504</v>
      </c>
      <c r="D13" s="68">
        <v>0.007</v>
      </c>
      <c r="E13" s="11">
        <f t="shared" si="0"/>
        <v>649506.2882924407</v>
      </c>
      <c r="F13" s="69">
        <f t="shared" si="1"/>
        <v>2862226682.3113847</v>
      </c>
      <c r="G13" s="70">
        <f t="shared" si="3"/>
        <v>2370155795.306325</v>
      </c>
      <c r="H13" s="70">
        <f t="shared" si="4"/>
        <v>1726972461.6202302</v>
      </c>
      <c r="I13" s="70">
        <f t="shared" si="5"/>
        <v>1253172075.6264079</v>
      </c>
      <c r="J13" s="70">
        <f t="shared" si="6"/>
        <v>877220452.9384856</v>
      </c>
    </row>
    <row r="14" spans="1:10" ht="14.25" customHeight="1">
      <c r="A14">
        <v>12</v>
      </c>
      <c r="B14" s="10">
        <v>2025</v>
      </c>
      <c r="C14" s="67">
        <f t="shared" si="2"/>
        <v>62768.66146316591</v>
      </c>
      <c r="D14" s="68">
        <v>0.007</v>
      </c>
      <c r="E14" s="11">
        <f t="shared" si="0"/>
        <v>712274.9497556066</v>
      </c>
      <c r="F14" s="69">
        <f t="shared" si="1"/>
        <v>3138833915.976769</v>
      </c>
      <c r="G14" s="70">
        <f t="shared" si="3"/>
        <v>2646763028.9717097</v>
      </c>
      <c r="H14" s="70">
        <f t="shared" si="4"/>
        <v>2003579695.285615</v>
      </c>
      <c r="I14" s="70">
        <f t="shared" si="5"/>
        <v>1490263990.1967375</v>
      </c>
      <c r="J14" s="70">
        <f t="shared" si="6"/>
        <v>1043184793.1377164</v>
      </c>
    </row>
    <row r="15" spans="1:10" ht="14.25" customHeight="1">
      <c r="A15">
        <v>13</v>
      </c>
      <c r="B15" s="10">
        <v>2026</v>
      </c>
      <c r="C15" s="67">
        <f t="shared" si="2"/>
        <v>63208.04209340807</v>
      </c>
      <c r="D15" s="68">
        <v>0.007</v>
      </c>
      <c r="E15" s="11">
        <f t="shared" si="0"/>
        <v>775482.9918490147</v>
      </c>
      <c r="F15" s="69">
        <f t="shared" si="1"/>
        <v>3417377400.277811</v>
      </c>
      <c r="G15" s="70">
        <f t="shared" si="3"/>
        <v>2925306513.272752</v>
      </c>
      <c r="H15" s="70">
        <f t="shared" si="4"/>
        <v>2282123179.5866575</v>
      </c>
      <c r="I15" s="70">
        <f t="shared" si="5"/>
        <v>1748911511.3334198</v>
      </c>
      <c r="J15" s="70">
        <f t="shared" si="6"/>
        <v>1224238057.933394</v>
      </c>
    </row>
    <row r="16" spans="1:10" ht="14.25" customHeight="1">
      <c r="A16">
        <v>14</v>
      </c>
      <c r="B16" s="10">
        <v>2027</v>
      </c>
      <c r="C16" s="67">
        <f t="shared" si="2"/>
        <v>63650.49838806192</v>
      </c>
      <c r="D16" s="68">
        <v>0.007</v>
      </c>
      <c r="E16" s="11">
        <f t="shared" si="0"/>
        <v>839133.4902370765</v>
      </c>
      <c r="F16" s="69">
        <f t="shared" si="1"/>
        <v>3697870688.968961</v>
      </c>
      <c r="G16" s="70">
        <f t="shared" si="3"/>
        <v>3205799801.9639015</v>
      </c>
      <c r="H16" s="70">
        <f t="shared" si="4"/>
        <v>2562616468.277807</v>
      </c>
      <c r="I16" s="70">
        <f t="shared" si="5"/>
        <v>2029404800.0245695</v>
      </c>
      <c r="J16" s="70">
        <f t="shared" si="6"/>
        <v>1420583360.0171986</v>
      </c>
    </row>
    <row r="17" spans="1:10" ht="14.25" customHeight="1">
      <c r="A17">
        <v>15</v>
      </c>
      <c r="B17" s="10">
        <v>2028</v>
      </c>
      <c r="C17" s="67">
        <f t="shared" si="2"/>
        <v>64096.05187677834</v>
      </c>
      <c r="D17" s="68">
        <v>0.007</v>
      </c>
      <c r="E17" s="11">
        <f t="shared" si="0"/>
        <v>903229.5421138549</v>
      </c>
      <c r="F17" s="69">
        <f t="shared" si="1"/>
        <v>3980327430.6809483</v>
      </c>
      <c r="G17" s="70">
        <f t="shared" si="3"/>
        <v>3488256543.675889</v>
      </c>
      <c r="H17" s="70">
        <f t="shared" si="4"/>
        <v>2845073209.9897947</v>
      </c>
      <c r="I17" s="70">
        <f t="shared" si="5"/>
        <v>2311861541.736557</v>
      </c>
      <c r="J17" s="70">
        <f t="shared" si="6"/>
        <v>1632425916.3011892</v>
      </c>
    </row>
    <row r="18" spans="1:10" ht="14.25" customHeight="1">
      <c r="A18">
        <v>16</v>
      </c>
      <c r="B18" s="10">
        <v>2029</v>
      </c>
      <c r="C18" s="67">
        <f t="shared" si="2"/>
        <v>64544.724239915784</v>
      </c>
      <c r="D18" s="68">
        <v>0.007</v>
      </c>
      <c r="E18" s="11">
        <f t="shared" si="0"/>
        <v>967774.2663537706</v>
      </c>
      <c r="F18" s="69">
        <f t="shared" si="1"/>
        <v>4264761369.5849195</v>
      </c>
      <c r="G18" s="70">
        <f t="shared" si="3"/>
        <v>3772690482.5798607</v>
      </c>
      <c r="H18" s="70">
        <f t="shared" si="4"/>
        <v>3129507148.8937664</v>
      </c>
      <c r="I18" s="70">
        <f t="shared" si="5"/>
        <v>2596295480.6405287</v>
      </c>
      <c r="J18" s="70">
        <f t="shared" si="6"/>
        <v>1859973067.4243665</v>
      </c>
    </row>
    <row r="19" spans="1:10" ht="14.25" customHeight="1">
      <c r="A19">
        <v>17</v>
      </c>
      <c r="B19" s="10">
        <v>2030</v>
      </c>
      <c r="C19" s="67">
        <f t="shared" si="2"/>
        <v>64996.53730959519</v>
      </c>
      <c r="D19" s="68">
        <v>0.007</v>
      </c>
      <c r="E19" s="11">
        <f t="shared" si="0"/>
        <v>1032770.8036633658</v>
      </c>
      <c r="F19" s="69">
        <f t="shared" si="1"/>
        <v>4551186346.061218</v>
      </c>
      <c r="G19" s="70">
        <f t="shared" si="3"/>
        <v>4059115459.05616</v>
      </c>
      <c r="H19" s="70">
        <f t="shared" si="4"/>
        <v>3415932125.3700657</v>
      </c>
      <c r="I19" s="70">
        <f t="shared" si="5"/>
        <v>2882720457.116828</v>
      </c>
      <c r="J19" s="70">
        <f t="shared" si="6"/>
        <v>2103434297.429221</v>
      </c>
    </row>
    <row r="20" spans="1:10" ht="14.25" customHeight="1">
      <c r="A20">
        <v>18</v>
      </c>
      <c r="B20" s="10">
        <v>2031</v>
      </c>
      <c r="C20" s="67">
        <f t="shared" si="2"/>
        <v>65451.51307076235</v>
      </c>
      <c r="D20" s="68">
        <v>0</v>
      </c>
      <c r="E20" s="11">
        <f t="shared" si="0"/>
        <v>1098222.3167341282</v>
      </c>
      <c r="F20" s="69">
        <f t="shared" si="1"/>
        <v>4839616297.372852</v>
      </c>
      <c r="G20" s="70">
        <f t="shared" si="3"/>
        <v>4347545410.367793</v>
      </c>
      <c r="H20" s="70">
        <f t="shared" si="4"/>
        <v>3704362076.681699</v>
      </c>
      <c r="I20" s="70">
        <f t="shared" si="5"/>
        <v>3171150408.428461</v>
      </c>
      <c r="J20" s="70">
        <f t="shared" si="6"/>
        <v>2363021253.6096907</v>
      </c>
    </row>
    <row r="21" spans="1:10" ht="14.25" customHeight="1">
      <c r="A21">
        <v>19</v>
      </c>
      <c r="B21" s="10">
        <v>2032</v>
      </c>
      <c r="C21" s="67">
        <f t="shared" si="2"/>
        <v>65451.51307076235</v>
      </c>
      <c r="D21" s="68">
        <v>0</v>
      </c>
      <c r="E21" s="11">
        <f t="shared" si="0"/>
        <v>1163673.8298048906</v>
      </c>
      <c r="F21" s="69">
        <f t="shared" si="1"/>
        <v>5128046248.684485</v>
      </c>
      <c r="G21" s="70">
        <f t="shared" si="3"/>
        <v>4635975361.679426</v>
      </c>
      <c r="H21" s="70">
        <f t="shared" si="4"/>
        <v>3992792027.993332</v>
      </c>
      <c r="I21" s="70">
        <f t="shared" si="5"/>
        <v>3459580359.740094</v>
      </c>
      <c r="J21" s="70">
        <f t="shared" si="6"/>
        <v>2637029707.3557425</v>
      </c>
    </row>
    <row r="22" spans="1:10" ht="14.25" customHeight="1">
      <c r="A22">
        <v>20</v>
      </c>
      <c r="B22" s="10">
        <v>2033</v>
      </c>
      <c r="C22" s="67">
        <f t="shared" si="2"/>
        <v>65451.51307076235</v>
      </c>
      <c r="D22" s="68">
        <v>0</v>
      </c>
      <c r="E22" s="11">
        <f t="shared" si="0"/>
        <v>1229125.342875653</v>
      </c>
      <c r="F22" s="69">
        <f t="shared" si="1"/>
        <v>5416476199.9961195</v>
      </c>
      <c r="G22" s="70">
        <f t="shared" si="3"/>
        <v>4924405312.991059</v>
      </c>
      <c r="H22" s="70">
        <f t="shared" si="4"/>
        <v>4281221979.304965</v>
      </c>
      <c r="I22" s="70">
        <f t="shared" si="5"/>
        <v>3748010311.0517273</v>
      </c>
      <c r="J22" s="70">
        <f t="shared" si="6"/>
        <v>2925459658.6673756</v>
      </c>
    </row>
    <row r="23" spans="1:10" ht="14.25" customHeight="1">
      <c r="A23">
        <v>21</v>
      </c>
      <c r="B23" s="10">
        <v>2034</v>
      </c>
      <c r="C23" s="67">
        <f t="shared" si="2"/>
        <v>65451.51307076235</v>
      </c>
      <c r="D23" s="68">
        <v>0</v>
      </c>
      <c r="E23" s="11">
        <f t="shared" si="0"/>
        <v>1294576.8559464153</v>
      </c>
      <c r="F23" s="69">
        <f t="shared" si="1"/>
        <v>5704906151.307753</v>
      </c>
      <c r="G23" s="70">
        <f t="shared" si="3"/>
        <v>5212835264.302692</v>
      </c>
      <c r="H23" s="70">
        <f t="shared" si="4"/>
        <v>4569651930.616598</v>
      </c>
      <c r="I23" s="70">
        <f t="shared" si="5"/>
        <v>4036440262.3633604</v>
      </c>
      <c r="J23" s="70">
        <f t="shared" si="6"/>
        <v>3213889609.9790087</v>
      </c>
    </row>
    <row r="24" spans="1:10" ht="14.25" customHeight="1">
      <c r="A24">
        <v>22</v>
      </c>
      <c r="B24" s="10">
        <v>2035</v>
      </c>
      <c r="C24" s="67">
        <f t="shared" si="2"/>
        <v>65451.51307076235</v>
      </c>
      <c r="D24" s="68">
        <v>0</v>
      </c>
      <c r="E24" s="11">
        <f t="shared" si="0"/>
        <v>1360028.3690171777</v>
      </c>
      <c r="F24" s="69">
        <f t="shared" si="1"/>
        <v>5993336102.619386</v>
      </c>
      <c r="G24" s="70">
        <f t="shared" si="3"/>
        <v>5501265215.614326</v>
      </c>
      <c r="H24" s="70">
        <f t="shared" si="4"/>
        <v>4858081881.928231</v>
      </c>
      <c r="I24" s="70">
        <f t="shared" si="5"/>
        <v>4324870213.6749935</v>
      </c>
      <c r="J24" s="70">
        <f t="shared" si="6"/>
        <v>3502319561.290642</v>
      </c>
    </row>
    <row r="25" spans="1:10" ht="14.25" customHeight="1">
      <c r="A25">
        <v>23</v>
      </c>
      <c r="B25" s="10">
        <v>2036</v>
      </c>
      <c r="C25" s="67">
        <f t="shared" si="2"/>
        <v>65451.51307076235</v>
      </c>
      <c r="D25" s="68">
        <v>0</v>
      </c>
      <c r="E25" s="11">
        <f t="shared" si="0"/>
        <v>1425479.8820879401</v>
      </c>
      <c r="F25" s="69">
        <f t="shared" si="1"/>
        <v>6281766053.93102</v>
      </c>
      <c r="G25" s="70">
        <f t="shared" si="3"/>
        <v>5789695166.925959</v>
      </c>
      <c r="H25" s="70">
        <f t="shared" si="4"/>
        <v>5146511833.239864</v>
      </c>
      <c r="I25" s="70">
        <f t="shared" si="5"/>
        <v>4613300164.986627</v>
      </c>
      <c r="J25" s="70">
        <f t="shared" si="6"/>
        <v>3790749512.602275</v>
      </c>
    </row>
    <row r="26" spans="1:10" ht="14.25" customHeight="1">
      <c r="A26">
        <v>24</v>
      </c>
      <c r="B26" s="10">
        <v>2037</v>
      </c>
      <c r="C26" s="67">
        <f t="shared" si="2"/>
        <v>65451.51307076235</v>
      </c>
      <c r="D26" s="68">
        <v>0</v>
      </c>
      <c r="E26" s="11">
        <f t="shared" si="0"/>
        <v>1490931.3951587025</v>
      </c>
      <c r="F26" s="69">
        <f t="shared" si="1"/>
        <v>6570196005.242653</v>
      </c>
      <c r="G26" s="70">
        <f t="shared" si="3"/>
        <v>6078125118.237592</v>
      </c>
      <c r="H26" s="70">
        <f t="shared" si="4"/>
        <v>5434941784.551497</v>
      </c>
      <c r="I26" s="70">
        <f t="shared" si="5"/>
        <v>4901730116.29826</v>
      </c>
      <c r="J26" s="70">
        <f t="shared" si="6"/>
        <v>4079179463.913908</v>
      </c>
    </row>
    <row r="27" spans="1:10" ht="14.25" customHeight="1">
      <c r="A27">
        <v>25</v>
      </c>
      <c r="B27" s="10">
        <v>2038</v>
      </c>
      <c r="C27" s="67">
        <f t="shared" si="2"/>
        <v>65451.51307076235</v>
      </c>
      <c r="D27" s="68">
        <v>0</v>
      </c>
      <c r="E27" s="11">
        <f t="shared" si="0"/>
        <v>1556382.908229465</v>
      </c>
      <c r="F27" s="69">
        <f t="shared" si="1"/>
        <v>6858625956.554286</v>
      </c>
      <c r="G27" s="70">
        <f t="shared" si="3"/>
        <v>6366555069.549225</v>
      </c>
      <c r="H27" s="70">
        <f t="shared" si="4"/>
        <v>5723371735.863131</v>
      </c>
      <c r="I27" s="70">
        <f t="shared" si="5"/>
        <v>5190160067.609893</v>
      </c>
      <c r="J27" s="70">
        <f t="shared" si="6"/>
        <v>4367609415.225541</v>
      </c>
    </row>
    <row r="28" spans="1:10" ht="14.25" customHeight="1">
      <c r="A28">
        <v>26</v>
      </c>
      <c r="B28" s="10">
        <v>2039</v>
      </c>
      <c r="C28" s="67">
        <f t="shared" si="2"/>
        <v>65451.51307076235</v>
      </c>
      <c r="D28" s="68">
        <v>0</v>
      </c>
      <c r="E28" s="11">
        <f t="shared" si="0"/>
        <v>1621834.4213002273</v>
      </c>
      <c r="F28" s="69">
        <f t="shared" si="1"/>
        <v>7147055907.86592</v>
      </c>
      <c r="G28" s="70">
        <f t="shared" si="3"/>
        <v>6654985020.860858</v>
      </c>
      <c r="H28" s="70">
        <f t="shared" si="4"/>
        <v>6011801687.174764</v>
      </c>
      <c r="I28" s="70">
        <f t="shared" si="5"/>
        <v>5478590018.921526</v>
      </c>
      <c r="J28" s="70">
        <f t="shared" si="6"/>
        <v>4656039366.537174</v>
      </c>
    </row>
    <row r="29" spans="1:10" ht="14.25" customHeight="1">
      <c r="A29">
        <v>27</v>
      </c>
      <c r="B29" s="10">
        <v>2040</v>
      </c>
      <c r="C29" s="67">
        <f t="shared" si="2"/>
        <v>65451.51307076235</v>
      </c>
      <c r="D29" s="68">
        <v>0</v>
      </c>
      <c r="E29" s="11">
        <f t="shared" si="0"/>
        <v>1687285.9343709897</v>
      </c>
      <c r="F29" s="69">
        <f t="shared" si="1"/>
        <v>7435485859.177553</v>
      </c>
      <c r="G29" s="70">
        <f t="shared" si="3"/>
        <v>6943414972.172491</v>
      </c>
      <c r="H29" s="71">
        <f t="shared" si="4"/>
        <v>6300231638.486397</v>
      </c>
      <c r="I29" s="71">
        <f t="shared" si="5"/>
        <v>5767019970.233159</v>
      </c>
      <c r="J29" s="71">
        <f t="shared" si="6"/>
        <v>4944469317.848807</v>
      </c>
    </row>
    <row r="30" spans="2:10" ht="14.25" customHeight="1">
      <c r="B30" s="72"/>
      <c r="C30" s="73"/>
      <c r="D30" s="72"/>
      <c r="E30" s="74" t="s">
        <v>96</v>
      </c>
      <c r="F30" s="75">
        <f>SUM(F3:F29)</f>
        <v>101228179063.26955</v>
      </c>
      <c r="G30" s="75">
        <f>SUM(G3:G29)</f>
        <v>88441694757.65907</v>
      </c>
      <c r="H30" s="75">
        <f>SUM(H3:H29)</f>
        <v>73685930861.44415</v>
      </c>
      <c r="I30" s="75">
        <f>SUM(I3:I29)</f>
        <v>63072880318.96868</v>
      </c>
      <c r="J30" s="75">
        <f>SUM(J3:J29)</f>
        <v>49489405810.50161</v>
      </c>
    </row>
    <row r="31" spans="5:10" ht="14.25" customHeight="1">
      <c r="E31" s="74" t="s">
        <v>97</v>
      </c>
      <c r="F31" s="75">
        <f>F30/25</f>
        <v>4049127162.5307817</v>
      </c>
      <c r="G31" s="75">
        <f>G30/25</f>
        <v>3537667790.306363</v>
      </c>
      <c r="H31" s="75">
        <f>H30/25</f>
        <v>2947437234.457766</v>
      </c>
      <c r="I31" s="75">
        <f>I30/25</f>
        <v>2522915212.758747</v>
      </c>
      <c r="J31" s="75">
        <f>J30/25</f>
        <v>1979576232.4200644</v>
      </c>
    </row>
    <row r="33" spans="2:3" ht="14.25" customHeight="1">
      <c r="B33" t="s">
        <v>98</v>
      </c>
      <c r="C33" s="34">
        <f>'Grilles et calculs individuels'!K65</f>
        <v>133129.48939307407</v>
      </c>
    </row>
    <row r="34" spans="2:3" ht="14.25" customHeight="1">
      <c r="B34" t="s">
        <v>99</v>
      </c>
      <c r="C34" s="1">
        <f>C33/'données complémentaire'!M7</f>
        <v>4406.772857944471</v>
      </c>
    </row>
  </sheetData>
  <sheetProtection password="9CD6" sheet="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1928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2014-11-10T09:26:10Z</dcterms:created>
  <dcterms:modified xsi:type="dcterms:W3CDTF">2015-02-02T09:44:51Z</dcterms:modified>
  <cp:category/>
  <cp:version/>
  <cp:contentType/>
  <cp:contentStatus/>
  <cp:revision>209</cp:revision>
</cp:coreProperties>
</file>